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120" windowHeight="8700" tabRatio="905" activeTab="1"/>
  </bookViews>
  <sheets>
    <sheet name="Tillaga S+U" sheetId="49" r:id="rId1"/>
    <sheet name=" Samant. framkv-fjárf 2017-2020" sheetId="42" r:id="rId2"/>
    <sheet name="Tímaplan verkefna 2017" sheetId="61" r:id="rId3"/>
    <sheet name="Götur-yfirlagnir" sheetId="50" r:id="rId4"/>
    <sheet name="Önnur verkefni" sheetId="37" r:id="rId5"/>
    <sheet name="Götur einingav." sheetId="52" r:id="rId6"/>
    <sheet name="Garðagrund" sheetId="54" r:id="rId7"/>
    <sheet name="Esjubraut" sheetId="53" r:id="rId8"/>
    <sheet name="Esjubraut Vestri" sheetId="55" r:id="rId9"/>
    <sheet name="Slökkvilið-búnaður" sheetId="44" r:id="rId10"/>
    <sheet name="Forsendur" sheetId="60" r:id="rId11"/>
  </sheets>
  <definedNames>
    <definedName name="_xlnm.Print_Area" localSheetId="5">'Götur einingav.'!$H$1:$R$39</definedName>
  </definedNames>
  <calcPr calcId="162913"/>
</workbook>
</file>

<file path=xl/calcChain.xml><?xml version="1.0" encoding="utf-8"?>
<calcChain xmlns="http://schemas.openxmlformats.org/spreadsheetml/2006/main">
  <c r="B50" i="42" l="1"/>
  <c r="B26" i="42" l="1"/>
  <c r="C17" i="44" l="1"/>
  <c r="D50" i="42" l="1"/>
  <c r="E50" i="42"/>
  <c r="F50" i="42"/>
  <c r="G50" i="42"/>
  <c r="H50" i="42"/>
  <c r="I50" i="42"/>
  <c r="C50" i="42"/>
  <c r="B25" i="49" s="1"/>
  <c r="C21" i="42" l="1"/>
  <c r="E24" i="49"/>
  <c r="D24" i="49"/>
  <c r="C24" i="49"/>
  <c r="B24" i="49" l="1"/>
  <c r="C38" i="42"/>
  <c r="B23" i="49" s="1"/>
  <c r="E21" i="42"/>
  <c r="C12" i="49" s="1"/>
  <c r="E23" i="49"/>
  <c r="D23" i="49"/>
  <c r="E19" i="49"/>
  <c r="D19" i="49"/>
  <c r="C19" i="49"/>
  <c r="B19" i="49"/>
  <c r="E18" i="49"/>
  <c r="D18" i="49"/>
  <c r="C18" i="49"/>
  <c r="E14" i="49"/>
  <c r="D14" i="49"/>
  <c r="C14" i="49"/>
  <c r="B14" i="49"/>
  <c r="D13" i="49"/>
  <c r="E13" i="49"/>
  <c r="E12" i="49"/>
  <c r="B12" i="49"/>
  <c r="E11" i="49"/>
  <c r="C11" i="49"/>
  <c r="B11" i="49"/>
  <c r="E9" i="49"/>
  <c r="D9" i="49"/>
  <c r="E8" i="49"/>
  <c r="C8" i="49"/>
  <c r="F19" i="49" l="1"/>
  <c r="F14" i="49"/>
  <c r="B13" i="49"/>
  <c r="B18" i="49" l="1"/>
  <c r="I29" i="42"/>
  <c r="E17" i="49" s="1"/>
  <c r="E15" i="49"/>
  <c r="D15" i="49"/>
  <c r="C15" i="49"/>
  <c r="B15" i="49"/>
  <c r="C13" i="49"/>
  <c r="D11" i="49"/>
  <c r="E10" i="49"/>
  <c r="D10" i="49"/>
  <c r="C10" i="49"/>
  <c r="B10" i="49"/>
  <c r="C9" i="49"/>
  <c r="B9" i="49"/>
  <c r="C23" i="49"/>
  <c r="G21" i="42"/>
  <c r="D12" i="49" s="1"/>
  <c r="G18" i="42"/>
  <c r="D8" i="49" s="1"/>
  <c r="G29" i="42"/>
  <c r="D17" i="49" s="1"/>
  <c r="E29" i="42"/>
  <c r="C17" i="49" s="1"/>
  <c r="C29" i="42"/>
  <c r="B17" i="49" s="1"/>
  <c r="C18" i="42"/>
  <c r="B8" i="49" s="1"/>
  <c r="I13" i="42"/>
  <c r="G13" i="42"/>
  <c r="E13" i="42"/>
  <c r="I12" i="42"/>
  <c r="G12" i="42"/>
  <c r="E12" i="42"/>
  <c r="C12" i="42"/>
  <c r="I10" i="42"/>
  <c r="G10" i="42"/>
  <c r="E10" i="42"/>
  <c r="C10" i="42"/>
  <c r="I7" i="42"/>
  <c r="G7" i="42"/>
  <c r="C7" i="42"/>
  <c r="F15" i="49" l="1"/>
  <c r="F23" i="49"/>
  <c r="F22" i="49"/>
  <c r="F18" i="49"/>
  <c r="F17" i="49"/>
  <c r="F13" i="49"/>
  <c r="F12" i="49"/>
  <c r="F11" i="49"/>
  <c r="F10" i="49"/>
  <c r="F9" i="49"/>
  <c r="F8" i="49"/>
  <c r="H6" i="42" l="1"/>
  <c r="I6" i="42" s="1"/>
  <c r="D7" i="42"/>
  <c r="E7" i="42" s="1"/>
  <c r="F6" i="42"/>
  <c r="G6" i="42" s="1"/>
  <c r="C4" i="50"/>
  <c r="D6" i="42"/>
  <c r="E6" i="42" s="1"/>
  <c r="C6" i="42"/>
  <c r="C62" i="55"/>
  <c r="B62" i="55"/>
  <c r="C60" i="55"/>
  <c r="B60" i="55"/>
  <c r="C58" i="55"/>
  <c r="B58" i="55"/>
  <c r="C56" i="55"/>
  <c r="B56" i="55"/>
  <c r="F41" i="55"/>
  <c r="H41" i="55" s="1"/>
  <c r="E41" i="55"/>
  <c r="C41" i="55"/>
  <c r="F35" i="55"/>
  <c r="E35" i="55"/>
  <c r="C35" i="55"/>
  <c r="F34" i="55"/>
  <c r="H34" i="55" s="1"/>
  <c r="E34" i="55"/>
  <c r="C34" i="55"/>
  <c r="F33" i="55"/>
  <c r="G33" i="55" s="1"/>
  <c r="E33" i="55"/>
  <c r="C33" i="55"/>
  <c r="F32" i="55"/>
  <c r="H32" i="55" s="1"/>
  <c r="E32" i="55"/>
  <c r="C32" i="55"/>
  <c r="F31" i="55"/>
  <c r="E31" i="55"/>
  <c r="C31" i="55"/>
  <c r="F26" i="55"/>
  <c r="G26" i="55" s="1"/>
  <c r="E26" i="55"/>
  <c r="C26" i="55"/>
  <c r="F25" i="55"/>
  <c r="H25" i="55" s="1"/>
  <c r="E25" i="55"/>
  <c r="C25" i="55"/>
  <c r="F24" i="55"/>
  <c r="E24" i="55"/>
  <c r="C24" i="55"/>
  <c r="F23" i="55"/>
  <c r="H23" i="55" s="1"/>
  <c r="E23" i="55"/>
  <c r="C23" i="55"/>
  <c r="F22" i="55"/>
  <c r="H22" i="55" s="1"/>
  <c r="E22" i="55"/>
  <c r="C22" i="55"/>
  <c r="F21" i="55"/>
  <c r="H21" i="55" s="1"/>
  <c r="E21" i="55"/>
  <c r="C21" i="55"/>
  <c r="F19" i="55"/>
  <c r="E19" i="55"/>
  <c r="C19" i="55"/>
  <c r="F18" i="55"/>
  <c r="H18" i="55" s="1"/>
  <c r="E18" i="55"/>
  <c r="C18" i="55"/>
  <c r="F17" i="55"/>
  <c r="H17" i="55" s="1"/>
  <c r="E17" i="55"/>
  <c r="C17" i="55"/>
  <c r="F16" i="55"/>
  <c r="H16" i="55" s="1"/>
  <c r="E16" i="55"/>
  <c r="C16" i="55"/>
  <c r="F10" i="55"/>
  <c r="H10" i="55" s="1"/>
  <c r="E10" i="55"/>
  <c r="C10" i="55"/>
  <c r="F9" i="55"/>
  <c r="H9" i="55" s="1"/>
  <c r="E9" i="55"/>
  <c r="C9" i="55"/>
  <c r="F8" i="55"/>
  <c r="H8" i="55" s="1"/>
  <c r="E8" i="55"/>
  <c r="C8" i="55"/>
  <c r="F7" i="55"/>
  <c r="E7" i="55"/>
  <c r="C7" i="55"/>
  <c r="F6" i="55"/>
  <c r="H6" i="55" s="1"/>
  <c r="E6" i="55"/>
  <c r="C6" i="55"/>
  <c r="C71" i="54"/>
  <c r="B71" i="54"/>
  <c r="C69" i="54"/>
  <c r="B69" i="54"/>
  <c r="C67" i="54"/>
  <c r="B67" i="54"/>
  <c r="C65" i="54"/>
  <c r="B65" i="54"/>
  <c r="F48" i="54"/>
  <c r="H48" i="54" s="1"/>
  <c r="E48" i="54"/>
  <c r="C48" i="54"/>
  <c r="F47" i="54"/>
  <c r="E47" i="54"/>
  <c r="C47" i="54"/>
  <c r="F46" i="54"/>
  <c r="H46" i="54" s="1"/>
  <c r="E46" i="54"/>
  <c r="C46" i="54"/>
  <c r="F45" i="54"/>
  <c r="H45" i="54" s="1"/>
  <c r="E45" i="54"/>
  <c r="C45" i="54"/>
  <c r="F44" i="54"/>
  <c r="H44" i="54" s="1"/>
  <c r="E44" i="54"/>
  <c r="C44" i="54"/>
  <c r="F38" i="54"/>
  <c r="H38" i="54" s="1"/>
  <c r="E38" i="54"/>
  <c r="C38" i="54"/>
  <c r="F37" i="54"/>
  <c r="H37" i="54" s="1"/>
  <c r="E37" i="54"/>
  <c r="C37" i="54"/>
  <c r="F36" i="54"/>
  <c r="H36" i="54" s="1"/>
  <c r="E36" i="54"/>
  <c r="C36" i="54"/>
  <c r="F35" i="54"/>
  <c r="E35" i="54"/>
  <c r="C35" i="54"/>
  <c r="F34" i="54"/>
  <c r="H34" i="54" s="1"/>
  <c r="E34" i="54"/>
  <c r="C34" i="54"/>
  <c r="F33" i="54"/>
  <c r="H33" i="54" s="1"/>
  <c r="E33" i="54"/>
  <c r="C33" i="54"/>
  <c r="F32" i="54"/>
  <c r="H32" i="54" s="1"/>
  <c r="E32" i="54"/>
  <c r="C32" i="54"/>
  <c r="F31" i="54"/>
  <c r="E31" i="54"/>
  <c r="C31" i="54"/>
  <c r="F26" i="54"/>
  <c r="H26" i="54" s="1"/>
  <c r="E26" i="54"/>
  <c r="C26" i="54"/>
  <c r="F25" i="54"/>
  <c r="H25" i="54" s="1"/>
  <c r="E25" i="54"/>
  <c r="C25" i="54"/>
  <c r="F24" i="54"/>
  <c r="E24" i="54"/>
  <c r="C24" i="54"/>
  <c r="F23" i="54"/>
  <c r="H23" i="54" s="1"/>
  <c r="E23" i="54"/>
  <c r="C23" i="54"/>
  <c r="F22" i="54"/>
  <c r="H22" i="54" s="1"/>
  <c r="E22" i="54"/>
  <c r="C22" i="54"/>
  <c r="F21" i="54"/>
  <c r="H21" i="54" s="1"/>
  <c r="E21" i="54"/>
  <c r="C21" i="54"/>
  <c r="F19" i="54"/>
  <c r="E19" i="54"/>
  <c r="C19" i="54"/>
  <c r="F18" i="54"/>
  <c r="H18" i="54" s="1"/>
  <c r="E18" i="54"/>
  <c r="C18" i="54"/>
  <c r="F17" i="54"/>
  <c r="H17" i="54" s="1"/>
  <c r="E17" i="54"/>
  <c r="C17" i="54"/>
  <c r="F16" i="54"/>
  <c r="H16" i="54" s="1"/>
  <c r="E16" i="54"/>
  <c r="C16" i="54"/>
  <c r="F10" i="54"/>
  <c r="H10" i="54" s="1"/>
  <c r="E10" i="54"/>
  <c r="C10" i="54"/>
  <c r="F9" i="54"/>
  <c r="H9" i="54" s="1"/>
  <c r="E9" i="54"/>
  <c r="C9" i="54"/>
  <c r="F8" i="54"/>
  <c r="H8" i="54" s="1"/>
  <c r="E8" i="54"/>
  <c r="C8" i="54"/>
  <c r="F7" i="54"/>
  <c r="E7" i="54"/>
  <c r="C7" i="54"/>
  <c r="F6" i="54"/>
  <c r="H6" i="54" s="1"/>
  <c r="E6" i="54"/>
  <c r="C6" i="54"/>
  <c r="C72" i="53"/>
  <c r="B72" i="53"/>
  <c r="C70" i="53"/>
  <c r="B70" i="53"/>
  <c r="C68" i="53"/>
  <c r="B68" i="53"/>
  <c r="C66" i="53"/>
  <c r="B66" i="53"/>
  <c r="F48" i="53"/>
  <c r="H48" i="53" s="1"/>
  <c r="E48" i="53"/>
  <c r="C48" i="53"/>
  <c r="F47" i="53"/>
  <c r="E47" i="53"/>
  <c r="C47" i="53"/>
  <c r="F46" i="53"/>
  <c r="H46" i="53" s="1"/>
  <c r="E46" i="53"/>
  <c r="C46" i="53"/>
  <c r="F45" i="53"/>
  <c r="H45" i="53" s="1"/>
  <c r="E45" i="53"/>
  <c r="C45" i="53"/>
  <c r="F44" i="53"/>
  <c r="H44" i="53" s="1"/>
  <c r="E44" i="53"/>
  <c r="C44" i="53"/>
  <c r="F38" i="53"/>
  <c r="H38" i="53" s="1"/>
  <c r="E38" i="53"/>
  <c r="C38" i="53"/>
  <c r="F37" i="53"/>
  <c r="H37" i="53" s="1"/>
  <c r="E37" i="53"/>
  <c r="C37" i="53"/>
  <c r="F36" i="53"/>
  <c r="H36" i="53" s="1"/>
  <c r="E36" i="53"/>
  <c r="C36" i="53"/>
  <c r="F35" i="53"/>
  <c r="E35" i="53"/>
  <c r="C35" i="53"/>
  <c r="F34" i="53"/>
  <c r="H34" i="53" s="1"/>
  <c r="E34" i="53"/>
  <c r="C34" i="53"/>
  <c r="F33" i="53"/>
  <c r="H33" i="53" s="1"/>
  <c r="E33" i="53"/>
  <c r="C33" i="53"/>
  <c r="F32" i="53"/>
  <c r="H32" i="53" s="1"/>
  <c r="E32" i="53"/>
  <c r="C32" i="53"/>
  <c r="F31" i="53"/>
  <c r="E31" i="53"/>
  <c r="C31" i="53"/>
  <c r="F26" i="53"/>
  <c r="H26" i="53" s="1"/>
  <c r="E26" i="53"/>
  <c r="C26" i="53"/>
  <c r="F25" i="53"/>
  <c r="H25" i="53" s="1"/>
  <c r="E25" i="53"/>
  <c r="C25" i="53"/>
  <c r="F24" i="53"/>
  <c r="E24" i="53"/>
  <c r="C24" i="53"/>
  <c r="F23" i="53"/>
  <c r="H23" i="53" s="1"/>
  <c r="E23" i="53"/>
  <c r="C23" i="53"/>
  <c r="F22" i="53"/>
  <c r="H22" i="53" s="1"/>
  <c r="E22" i="53"/>
  <c r="C22" i="53"/>
  <c r="F21" i="53"/>
  <c r="H21" i="53" s="1"/>
  <c r="E21" i="53"/>
  <c r="C21" i="53"/>
  <c r="F19" i="53"/>
  <c r="E19" i="53"/>
  <c r="C19" i="53"/>
  <c r="F18" i="53"/>
  <c r="H18" i="53" s="1"/>
  <c r="E18" i="53"/>
  <c r="C18" i="53"/>
  <c r="F17" i="53"/>
  <c r="H17" i="53" s="1"/>
  <c r="E17" i="53"/>
  <c r="C17" i="53"/>
  <c r="F16" i="53"/>
  <c r="H16" i="53" s="1"/>
  <c r="E16" i="53"/>
  <c r="C16" i="53"/>
  <c r="F10" i="53"/>
  <c r="H10" i="53" s="1"/>
  <c r="E10" i="53"/>
  <c r="C10" i="53"/>
  <c r="F9" i="53"/>
  <c r="H9" i="53" s="1"/>
  <c r="E9" i="53"/>
  <c r="C9" i="53"/>
  <c r="F8" i="53"/>
  <c r="H8" i="53" s="1"/>
  <c r="E8" i="53"/>
  <c r="C8" i="53"/>
  <c r="F7" i="53"/>
  <c r="E7" i="53"/>
  <c r="C7" i="53"/>
  <c r="F6" i="53"/>
  <c r="H6" i="53" s="1"/>
  <c r="E6" i="53"/>
  <c r="C6" i="53"/>
  <c r="R39" i="52"/>
  <c r="Q39" i="52"/>
  <c r="P39" i="52"/>
  <c r="O39" i="52"/>
  <c r="N39" i="52"/>
  <c r="L39" i="52"/>
  <c r="K39" i="52"/>
  <c r="J39" i="52"/>
  <c r="I39" i="52"/>
  <c r="H39" i="52"/>
  <c r="R38" i="52"/>
  <c r="Q38" i="52"/>
  <c r="P38" i="52"/>
  <c r="O38" i="52"/>
  <c r="N38" i="52"/>
  <c r="L38" i="52"/>
  <c r="K38" i="52"/>
  <c r="J38" i="52"/>
  <c r="I38" i="52"/>
  <c r="H38" i="52"/>
  <c r="R37" i="52"/>
  <c r="Q37" i="52"/>
  <c r="P37" i="52"/>
  <c r="O37" i="52"/>
  <c r="N37" i="52"/>
  <c r="L37" i="52"/>
  <c r="K37" i="52"/>
  <c r="J37" i="52"/>
  <c r="I37" i="52"/>
  <c r="H37" i="52"/>
  <c r="R36" i="52"/>
  <c r="Q36" i="52"/>
  <c r="P36" i="52"/>
  <c r="O36" i="52"/>
  <c r="N36" i="52"/>
  <c r="L36" i="52"/>
  <c r="K36" i="52"/>
  <c r="J36" i="52"/>
  <c r="I36" i="52"/>
  <c r="H36" i="52"/>
  <c r="R35" i="52"/>
  <c r="Q35" i="52"/>
  <c r="P35" i="52"/>
  <c r="O35" i="52"/>
  <c r="N35" i="52"/>
  <c r="L35" i="52"/>
  <c r="K35" i="52"/>
  <c r="J35" i="52"/>
  <c r="I35" i="52"/>
  <c r="H35" i="52"/>
  <c r="R34" i="52"/>
  <c r="Q34" i="52"/>
  <c r="P34" i="52"/>
  <c r="O34" i="52"/>
  <c r="N34" i="52"/>
  <c r="L34" i="52"/>
  <c r="K34" i="52"/>
  <c r="J34" i="52"/>
  <c r="I34" i="52"/>
  <c r="H34" i="52"/>
  <c r="R33" i="52"/>
  <c r="Q33" i="52"/>
  <c r="P33" i="52"/>
  <c r="O33" i="52"/>
  <c r="N33" i="52"/>
  <c r="L33" i="52"/>
  <c r="K33" i="52"/>
  <c r="J33" i="52"/>
  <c r="I33" i="52"/>
  <c r="H33" i="52"/>
  <c r="R32" i="52"/>
  <c r="Q32" i="52"/>
  <c r="P32" i="52"/>
  <c r="O32" i="52"/>
  <c r="N32" i="52"/>
  <c r="L32" i="52"/>
  <c r="K32" i="52"/>
  <c r="J32" i="52"/>
  <c r="I32" i="52"/>
  <c r="H32" i="52"/>
  <c r="R31" i="52"/>
  <c r="Q31" i="52"/>
  <c r="P31" i="52"/>
  <c r="O31" i="52"/>
  <c r="N31" i="52"/>
  <c r="L31" i="52"/>
  <c r="K31" i="52"/>
  <c r="J31" i="52"/>
  <c r="I31" i="52"/>
  <c r="H31" i="52"/>
  <c r="R30" i="52"/>
  <c r="Q30" i="52"/>
  <c r="P30" i="52"/>
  <c r="O30" i="52"/>
  <c r="N30" i="52"/>
  <c r="L30" i="52"/>
  <c r="K30" i="52"/>
  <c r="J30" i="52"/>
  <c r="I30" i="52"/>
  <c r="H30" i="52"/>
  <c r="R29" i="52"/>
  <c r="Q29" i="52"/>
  <c r="P29" i="52"/>
  <c r="O29" i="52"/>
  <c r="N29" i="52"/>
  <c r="L29" i="52"/>
  <c r="K29" i="52"/>
  <c r="J29" i="52"/>
  <c r="I29" i="52"/>
  <c r="H29" i="52"/>
  <c r="R28" i="52"/>
  <c r="Q28" i="52"/>
  <c r="P28" i="52"/>
  <c r="O28" i="52"/>
  <c r="N28" i="52"/>
  <c r="L28" i="52"/>
  <c r="K28" i="52"/>
  <c r="J28" i="52"/>
  <c r="I28" i="52"/>
  <c r="H28" i="52"/>
  <c r="R27" i="52"/>
  <c r="Q27" i="52"/>
  <c r="P27" i="52"/>
  <c r="O27" i="52"/>
  <c r="N27" i="52"/>
  <c r="L27" i="52"/>
  <c r="K27" i="52"/>
  <c r="J27" i="52"/>
  <c r="I27" i="52"/>
  <c r="H27" i="52"/>
  <c r="R26" i="52"/>
  <c r="Q26" i="52"/>
  <c r="P26" i="52"/>
  <c r="O26" i="52"/>
  <c r="N26" i="52"/>
  <c r="L26" i="52"/>
  <c r="K26" i="52"/>
  <c r="J26" i="52"/>
  <c r="I26" i="52"/>
  <c r="H26" i="52"/>
  <c r="R25" i="52"/>
  <c r="Q25" i="52"/>
  <c r="P25" i="52"/>
  <c r="O25" i="52"/>
  <c r="N25" i="52"/>
  <c r="L25" i="52"/>
  <c r="K25" i="52"/>
  <c r="J25" i="52"/>
  <c r="I25" i="52"/>
  <c r="H25" i="52"/>
  <c r="R24" i="52"/>
  <c r="Q24" i="52"/>
  <c r="P24" i="52"/>
  <c r="O24" i="52"/>
  <c r="N24" i="52"/>
  <c r="L24" i="52"/>
  <c r="K24" i="52"/>
  <c r="J24" i="52"/>
  <c r="I24" i="52"/>
  <c r="H24" i="52"/>
  <c r="R23" i="52"/>
  <c r="Q23" i="52"/>
  <c r="P23" i="52"/>
  <c r="O23" i="52"/>
  <c r="N23" i="52"/>
  <c r="L23" i="52"/>
  <c r="K23" i="52"/>
  <c r="J23" i="52"/>
  <c r="I23" i="52"/>
  <c r="H23" i="52"/>
  <c r="R22" i="52"/>
  <c r="Q22" i="52"/>
  <c r="P22" i="52"/>
  <c r="O22" i="52"/>
  <c r="N22" i="52"/>
  <c r="L22" i="52"/>
  <c r="K22" i="52"/>
  <c r="J22" i="52"/>
  <c r="I22" i="52"/>
  <c r="H22" i="52"/>
  <c r="R21" i="52"/>
  <c r="Q21" i="52"/>
  <c r="P21" i="52"/>
  <c r="O21" i="52"/>
  <c r="N21" i="52"/>
  <c r="L21" i="52"/>
  <c r="K21" i="52"/>
  <c r="J21" i="52"/>
  <c r="I21" i="52"/>
  <c r="H21" i="52"/>
  <c r="R20" i="52"/>
  <c r="Q20" i="52"/>
  <c r="P20" i="52"/>
  <c r="O20" i="52"/>
  <c r="N20" i="52"/>
  <c r="L20" i="52"/>
  <c r="K20" i="52"/>
  <c r="J20" i="52"/>
  <c r="I20" i="52"/>
  <c r="H20" i="52"/>
  <c r="R19" i="52"/>
  <c r="Q19" i="52"/>
  <c r="P19" i="52"/>
  <c r="O19" i="52"/>
  <c r="N19" i="52"/>
  <c r="L19" i="52"/>
  <c r="K19" i="52"/>
  <c r="J19" i="52"/>
  <c r="I19" i="52"/>
  <c r="H19" i="52"/>
  <c r="R18" i="52"/>
  <c r="Q18" i="52"/>
  <c r="P18" i="52"/>
  <c r="O18" i="52"/>
  <c r="N18" i="52"/>
  <c r="L18" i="52"/>
  <c r="K18" i="52"/>
  <c r="J18" i="52"/>
  <c r="I18" i="52"/>
  <c r="H18" i="52"/>
  <c r="R17" i="52"/>
  <c r="Q17" i="52"/>
  <c r="P17" i="52"/>
  <c r="O17" i="52"/>
  <c r="N17" i="52"/>
  <c r="L17" i="52"/>
  <c r="K17" i="52"/>
  <c r="J17" i="52"/>
  <c r="I17" i="52"/>
  <c r="H17" i="52"/>
  <c r="R16" i="52"/>
  <c r="Q16" i="52"/>
  <c r="P16" i="52"/>
  <c r="O16" i="52"/>
  <c r="N16" i="52"/>
  <c r="L16" i="52"/>
  <c r="K16" i="52"/>
  <c r="J16" i="52"/>
  <c r="I16" i="52"/>
  <c r="H16" i="52"/>
  <c r="R15" i="52"/>
  <c r="Q15" i="52"/>
  <c r="P15" i="52"/>
  <c r="O15" i="52"/>
  <c r="N15" i="52"/>
  <c r="L15" i="52"/>
  <c r="K15" i="52"/>
  <c r="J15" i="52"/>
  <c r="I15" i="52"/>
  <c r="H15" i="52"/>
  <c r="R14" i="52"/>
  <c r="Q14" i="52"/>
  <c r="P14" i="52"/>
  <c r="O14" i="52"/>
  <c r="N14" i="52"/>
  <c r="L14" i="52"/>
  <c r="K14" i="52"/>
  <c r="J14" i="52"/>
  <c r="I14" i="52"/>
  <c r="H14" i="52"/>
  <c r="R13" i="52"/>
  <c r="Q13" i="52"/>
  <c r="P13" i="52"/>
  <c r="O13" i="52"/>
  <c r="N13" i="52"/>
  <c r="L13" i="52"/>
  <c r="K13" i="52"/>
  <c r="J13" i="52"/>
  <c r="I13" i="52"/>
  <c r="H13" i="52"/>
  <c r="R12" i="52"/>
  <c r="Q12" i="52"/>
  <c r="P12" i="52"/>
  <c r="O12" i="52"/>
  <c r="N12" i="52"/>
  <c r="L12" i="52"/>
  <c r="K12" i="52"/>
  <c r="J12" i="52"/>
  <c r="I12" i="52"/>
  <c r="H12" i="52"/>
  <c r="R11" i="52"/>
  <c r="Q11" i="52"/>
  <c r="P11" i="52"/>
  <c r="O11" i="52"/>
  <c r="N11" i="52"/>
  <c r="L11" i="52"/>
  <c r="K11" i="52"/>
  <c r="J11" i="52"/>
  <c r="I11" i="52"/>
  <c r="H11" i="52"/>
  <c r="R10" i="52"/>
  <c r="Q10" i="52"/>
  <c r="P10" i="52"/>
  <c r="O10" i="52"/>
  <c r="N10" i="52"/>
  <c r="L10" i="52"/>
  <c r="K10" i="52"/>
  <c r="J10" i="52"/>
  <c r="I10" i="52"/>
  <c r="H10" i="52"/>
  <c r="R9" i="52"/>
  <c r="Q9" i="52"/>
  <c r="P9" i="52"/>
  <c r="O9" i="52"/>
  <c r="N9" i="52"/>
  <c r="L9" i="52"/>
  <c r="K9" i="52"/>
  <c r="J9" i="52"/>
  <c r="I9" i="52"/>
  <c r="H9" i="52"/>
  <c r="R8" i="52"/>
  <c r="Q8" i="52"/>
  <c r="P8" i="52"/>
  <c r="O8" i="52"/>
  <c r="N8" i="52"/>
  <c r="L8" i="52"/>
  <c r="K8" i="52"/>
  <c r="J8" i="52"/>
  <c r="I8" i="52"/>
  <c r="H8" i="52"/>
  <c r="R7" i="52"/>
  <c r="Q7" i="52"/>
  <c r="P7" i="52"/>
  <c r="O7" i="52"/>
  <c r="N7" i="52"/>
  <c r="L7" i="52"/>
  <c r="K7" i="52"/>
  <c r="J7" i="52"/>
  <c r="I7" i="52"/>
  <c r="H7" i="52"/>
  <c r="R6" i="52"/>
  <c r="Q6" i="52"/>
  <c r="P6" i="52"/>
  <c r="O6" i="52"/>
  <c r="N6" i="52"/>
  <c r="L6" i="52"/>
  <c r="K6" i="52"/>
  <c r="J6" i="52"/>
  <c r="I6" i="52"/>
  <c r="H6" i="52"/>
  <c r="R5" i="52"/>
  <c r="Q5" i="52"/>
  <c r="P5" i="52"/>
  <c r="O5" i="52"/>
  <c r="N5" i="52"/>
  <c r="L5" i="52"/>
  <c r="K5" i="52"/>
  <c r="J5" i="52"/>
  <c r="I5" i="52"/>
  <c r="H5" i="52"/>
  <c r="L4" i="52"/>
  <c r="R4" i="52" s="1"/>
  <c r="K4" i="52"/>
  <c r="Q4" i="52" s="1"/>
  <c r="J4" i="52"/>
  <c r="P4" i="52" s="1"/>
  <c r="I4" i="52"/>
  <c r="O4" i="52" s="1"/>
  <c r="H4" i="52"/>
  <c r="N4" i="52" s="1"/>
  <c r="H3" i="52"/>
  <c r="N3" i="52" s="1"/>
  <c r="H1" i="52"/>
  <c r="G9" i="53" l="1"/>
  <c r="G37" i="54"/>
  <c r="G23" i="53"/>
  <c r="G9" i="54"/>
  <c r="G45" i="54"/>
  <c r="G37" i="53"/>
  <c r="G46" i="53"/>
  <c r="G18" i="54"/>
  <c r="G33" i="54"/>
  <c r="G6" i="55"/>
  <c r="G18" i="55"/>
  <c r="G18" i="53"/>
  <c r="G33" i="53"/>
  <c r="G22" i="54"/>
  <c r="G9" i="55"/>
  <c r="G10" i="55"/>
  <c r="G22" i="55"/>
  <c r="G6" i="53"/>
  <c r="G10" i="53"/>
  <c r="G17" i="53"/>
  <c r="G22" i="53"/>
  <c r="G26" i="53"/>
  <c r="G34" i="53"/>
  <c r="G38" i="53"/>
  <c r="G45" i="53"/>
  <c r="G6" i="54"/>
  <c r="G10" i="54"/>
  <c r="G17" i="54"/>
  <c r="G23" i="54"/>
  <c r="G26" i="54"/>
  <c r="G34" i="54"/>
  <c r="G38" i="54"/>
  <c r="G46" i="54"/>
  <c r="G17" i="55"/>
  <c r="G23" i="55"/>
  <c r="H26" i="55"/>
  <c r="H33" i="55"/>
  <c r="G34" i="55"/>
  <c r="G7" i="54"/>
  <c r="H7" i="54"/>
  <c r="G19" i="54"/>
  <c r="H19" i="54"/>
  <c r="G19" i="55"/>
  <c r="H19" i="55"/>
  <c r="G24" i="54"/>
  <c r="H24" i="54"/>
  <c r="G47" i="54"/>
  <c r="H47" i="54"/>
  <c r="G7" i="55"/>
  <c r="H7" i="55"/>
  <c r="G31" i="55"/>
  <c r="H31" i="55"/>
  <c r="G19" i="53"/>
  <c r="H19" i="53"/>
  <c r="G24" i="53"/>
  <c r="H24" i="53"/>
  <c r="G47" i="53"/>
  <c r="H47" i="53"/>
  <c r="G24" i="55"/>
  <c r="H24" i="55"/>
  <c r="G35" i="55"/>
  <c r="H35" i="55"/>
  <c r="G7" i="53"/>
  <c r="H7" i="53"/>
  <c r="G31" i="53"/>
  <c r="H31" i="53"/>
  <c r="G35" i="53"/>
  <c r="H35" i="53"/>
  <c r="G31" i="54"/>
  <c r="H31" i="54"/>
  <c r="G35" i="54"/>
  <c r="H35" i="54"/>
  <c r="G8" i="53"/>
  <c r="G16" i="53"/>
  <c r="G21" i="53"/>
  <c r="G25" i="53"/>
  <c r="G32" i="53"/>
  <c r="G36" i="53"/>
  <c r="G44" i="53"/>
  <c r="G48" i="53"/>
  <c r="G8" i="54"/>
  <c r="G16" i="54"/>
  <c r="G21" i="54"/>
  <c r="G25" i="54"/>
  <c r="G32" i="54"/>
  <c r="G36" i="54"/>
  <c r="G44" i="54"/>
  <c r="G48" i="54"/>
  <c r="G8" i="55"/>
  <c r="G16" i="55"/>
  <c r="G21" i="55"/>
  <c r="G25" i="55"/>
  <c r="G32" i="55"/>
  <c r="G41" i="55"/>
  <c r="G45" i="55" s="1"/>
  <c r="G62" i="55" s="1"/>
  <c r="G54" i="54" l="1"/>
  <c r="G71" i="54" s="1"/>
  <c r="G55" i="53"/>
  <c r="G72" i="53" s="1"/>
  <c r="G12" i="53"/>
  <c r="G66" i="53" s="1"/>
  <c r="G12" i="55"/>
  <c r="G56" i="55" s="1"/>
  <c r="G12" i="54"/>
  <c r="G65" i="54" s="1"/>
  <c r="G28" i="55"/>
  <c r="G58" i="55" s="1"/>
  <c r="G37" i="55"/>
  <c r="G60" i="55" s="1"/>
  <c r="G28" i="54"/>
  <c r="G67" i="54" s="1"/>
  <c r="G28" i="53"/>
  <c r="G68" i="53" s="1"/>
  <c r="G40" i="54"/>
  <c r="G69" i="54" s="1"/>
  <c r="G40" i="53"/>
  <c r="G70" i="53" s="1"/>
  <c r="G73" i="54" l="1"/>
  <c r="H71" i="54" s="1"/>
  <c r="G56" i="54"/>
  <c r="G47" i="55"/>
  <c r="G74" i="53"/>
  <c r="H72" i="53" s="1"/>
  <c r="G57" i="53"/>
  <c r="G64" i="55"/>
  <c r="H62" i="55" s="1"/>
  <c r="H67" i="54" l="1"/>
  <c r="H69" i="54"/>
  <c r="H56" i="55"/>
  <c r="H58" i="55"/>
  <c r="H60" i="55"/>
  <c r="H66" i="53"/>
  <c r="G49" i="55"/>
  <c r="G50" i="55" s="1"/>
  <c r="H68" i="53"/>
  <c r="G59" i="53"/>
  <c r="G60" i="53" s="1"/>
  <c r="G58" i="54"/>
  <c r="G59" i="54" s="1"/>
  <c r="H65" i="54"/>
  <c r="H70" i="53"/>
  <c r="D26" i="42" l="1"/>
  <c r="E26" i="42"/>
  <c r="F26" i="42"/>
  <c r="G26" i="42"/>
  <c r="H26" i="42"/>
  <c r="I26" i="42"/>
  <c r="C26" i="42"/>
  <c r="D25" i="49" l="1"/>
  <c r="E25" i="49"/>
  <c r="C25" i="49"/>
  <c r="I43" i="42"/>
  <c r="H43" i="42"/>
  <c r="G43" i="42"/>
  <c r="F43" i="42"/>
  <c r="E43" i="42"/>
  <c r="D43" i="42"/>
  <c r="C43" i="42"/>
  <c r="B43" i="42"/>
  <c r="B33" i="42"/>
  <c r="C13" i="42"/>
  <c r="G9" i="42"/>
  <c r="I9" i="42"/>
  <c r="I14" i="42" s="1"/>
  <c r="E9" i="42"/>
  <c r="C9" i="42"/>
  <c r="I33" i="42"/>
  <c r="G33" i="42"/>
  <c r="E33" i="42"/>
  <c r="C33" i="42"/>
  <c r="H33" i="42"/>
  <c r="F33" i="42"/>
  <c r="D33" i="42"/>
  <c r="F25" i="49" l="1"/>
  <c r="I53" i="42"/>
  <c r="E28" i="49" s="1"/>
  <c r="D14" i="42"/>
  <c r="B14" i="42"/>
  <c r="F14" i="42"/>
  <c r="H14" i="42"/>
  <c r="G14" i="42"/>
  <c r="F24" i="49" l="1"/>
  <c r="H53" i="42"/>
  <c r="E21" i="49"/>
  <c r="E26" i="49" s="1"/>
  <c r="E27" i="49" s="1"/>
  <c r="F53" i="42"/>
  <c r="D21" i="49"/>
  <c r="D26" i="49" s="1"/>
  <c r="B53" i="42"/>
  <c r="D53" i="42"/>
  <c r="G53" i="42"/>
  <c r="D28" i="49" s="1"/>
  <c r="J14" i="42"/>
  <c r="D27" i="49" l="1"/>
  <c r="C14" i="42" l="1"/>
  <c r="E14" i="42"/>
  <c r="C21" i="49" s="1"/>
  <c r="C26" i="49" s="1"/>
  <c r="C53" i="42" l="1"/>
  <c r="B28" i="49" s="1"/>
  <c r="B21" i="49"/>
  <c r="B26" i="49" s="1"/>
  <c r="E53" i="42"/>
  <c r="C28" i="49" l="1"/>
  <c r="C27" i="49" s="1"/>
  <c r="F21" i="49"/>
  <c r="F28" i="49" l="1"/>
  <c r="F26" i="49"/>
  <c r="B27" i="49"/>
  <c r="F27" i="49" s="1"/>
</calcChain>
</file>

<file path=xl/comments1.xml><?xml version="1.0" encoding="utf-8"?>
<comments xmlns="http://schemas.openxmlformats.org/spreadsheetml/2006/main">
  <authors>
    <author>Sigurður Páll Harðarsson</author>
  </authors>
  <commentList>
    <comment ref="B8" authorId="0">
      <text>
        <r>
          <rPr>
            <b/>
            <sz val="9"/>
            <color indexed="81"/>
            <rFont val="Tahoma"/>
            <family val="2"/>
          </rPr>
          <t>Sigurður Páll Harðarsson:</t>
        </r>
        <r>
          <rPr>
            <sz val="9"/>
            <color indexed="81"/>
            <rFont val="Tahoma"/>
            <family val="2"/>
          </rPr>
          <t xml:space="preserve">
Hluti unninn 2016</t>
        </r>
      </text>
    </comment>
  </commentList>
</comments>
</file>

<file path=xl/comments2.xml><?xml version="1.0" encoding="utf-8"?>
<comments xmlns="http://schemas.openxmlformats.org/spreadsheetml/2006/main">
  <authors>
    <author>Sigurður Páll Harðarsson</author>
  </authors>
  <commentList>
    <comment ref="F29" authorId="0">
      <text>
        <r>
          <rPr>
            <b/>
            <sz val="9"/>
            <color indexed="81"/>
            <rFont val="Tahoma"/>
            <family val="2"/>
          </rPr>
          <t>Sigurður Páll Harðarsson:</t>
        </r>
        <r>
          <rPr>
            <sz val="9"/>
            <color indexed="81"/>
            <rFont val="Tahoma"/>
            <family val="2"/>
          </rPr>
          <t xml:space="preserve">
Óskilgreint</t>
        </r>
      </text>
    </comment>
  </commentList>
</comments>
</file>

<file path=xl/sharedStrings.xml><?xml version="1.0" encoding="utf-8"?>
<sst xmlns="http://schemas.openxmlformats.org/spreadsheetml/2006/main" count="518" uniqueCount="315">
  <si>
    <t xml:space="preserve"> </t>
  </si>
  <si>
    <t>Heildarkostnaður</t>
  </si>
  <si>
    <t>Kirkjuhvoll</t>
  </si>
  <si>
    <t>Skýringar</t>
  </si>
  <si>
    <t>Framkvæmdarverkefni</t>
  </si>
  <si>
    <t>Höfðasel</t>
  </si>
  <si>
    <t>Æðaroddi</t>
  </si>
  <si>
    <t>Flóahverfið, ath með tengingar OR.</t>
  </si>
  <si>
    <t>Hafnarbraut, gangstétt</t>
  </si>
  <si>
    <t>Innra Skarð gangstétt</t>
  </si>
  <si>
    <t>Fasteignir</t>
  </si>
  <si>
    <t>Ath með Þjónustumiðstöð</t>
  </si>
  <si>
    <t>Samtals fasteignir</t>
  </si>
  <si>
    <t>Opin svæði</t>
  </si>
  <si>
    <t>Heilsustígar - æfingarstöðvar</t>
  </si>
  <si>
    <t>Samtals opin svæði</t>
  </si>
  <si>
    <t>Annað</t>
  </si>
  <si>
    <t>Gangstétt við Hafnarbraut</t>
  </si>
  <si>
    <t xml:space="preserve">  </t>
  </si>
  <si>
    <t>Fjárfestingar</t>
  </si>
  <si>
    <t>Ketilsflöt gangstétt</t>
  </si>
  <si>
    <t>Breið, útivistarsvæði</t>
  </si>
  <si>
    <t>Götur í Jörundarholti</t>
  </si>
  <si>
    <t>Græn verkefni</t>
  </si>
  <si>
    <t>Leikvellir</t>
  </si>
  <si>
    <t>Gangstéttar klára í nýjum hverfum</t>
  </si>
  <si>
    <t>Flóahverfið taka niður línur</t>
  </si>
  <si>
    <t>Innnesvegur</t>
  </si>
  <si>
    <t>Stofnanalóðir</t>
  </si>
  <si>
    <t xml:space="preserve">Götur </t>
  </si>
  <si>
    <t>Guðlaug</t>
  </si>
  <si>
    <t>Mánabraut 20</t>
  </si>
  <si>
    <t>Sólmundarhöfði 2</t>
  </si>
  <si>
    <t>Sementsreitur</t>
  </si>
  <si>
    <t>framkvæmdir</t>
  </si>
  <si>
    <t>Esjubraut frá Kalmansbraut að Vesturgötu</t>
  </si>
  <si>
    <t xml:space="preserve">Ketilsflöt </t>
  </si>
  <si>
    <t>Stígar í Jörundarholti og öðrum hverfum</t>
  </si>
  <si>
    <t>Uppbygging nýrra svæða</t>
  </si>
  <si>
    <t>Dalbrautarreitur</t>
  </si>
  <si>
    <t>Tjaldsvæði</t>
  </si>
  <si>
    <t>Stök gatnagerðarverkefni/gangstéttar</t>
  </si>
  <si>
    <t>Fasteignir, stærri verkefni</t>
  </si>
  <si>
    <t>Samtals gatnagerð/gangstéttar</t>
  </si>
  <si>
    <t>Garðagrund</t>
  </si>
  <si>
    <t>Suðurgata 62</t>
  </si>
  <si>
    <t>Þjónustuhús fyrir golfvöll/eldri borgara</t>
  </si>
  <si>
    <t>Sambýli</t>
  </si>
  <si>
    <t>Flóahverfi slitlag</t>
  </si>
  <si>
    <t>Gangstéttar í eldri hverfum</t>
  </si>
  <si>
    <t xml:space="preserve">Samtals </t>
  </si>
  <si>
    <t>Golfskáli nýr</t>
  </si>
  <si>
    <t>Sundlaug pottar og rennibrautir</t>
  </si>
  <si>
    <t>Leikskóli viðbygging</t>
  </si>
  <si>
    <t>Samhliða götum sem eru lagaðar</t>
  </si>
  <si>
    <t>Skógarhverfi II o.s.frv.</t>
  </si>
  <si>
    <t>Fegra bæjarlandið</t>
  </si>
  <si>
    <t>17 leikvellir sem þarf að laga.</t>
  </si>
  <si>
    <t>Klára Grunnskóla og leikskólalóðir.</t>
  </si>
  <si>
    <t>Vesturgata lágbyggingar</t>
  </si>
  <si>
    <t>Skemma Jaðarsbökkum, gaflar og þak</t>
  </si>
  <si>
    <t>Akraneshöll gaflar</t>
  </si>
  <si>
    <t>Stærri viðhaldsverkefni/viðbætur</t>
  </si>
  <si>
    <t>Endurnýjun ljósastaura</t>
  </si>
  <si>
    <t>Styrkir fasteignir</t>
  </si>
  <si>
    <t>Samtals</t>
  </si>
  <si>
    <t>Esjubraut Þjóðv-Spælegg</t>
  </si>
  <si>
    <t>Esjubraut spæle-vesturgata</t>
  </si>
  <si>
    <t>Vesturgata</t>
  </si>
  <si>
    <t>Fjárfesting</t>
  </si>
  <si>
    <t>Framkv.</t>
  </si>
  <si>
    <t>Heiti</t>
  </si>
  <si>
    <t>Almennt</t>
  </si>
  <si>
    <t>Umföryggi</t>
  </si>
  <si>
    <t>Gatnamót Stillh-Kirkjubr, ljós</t>
  </si>
  <si>
    <t xml:space="preserve">Dagsetning : </t>
  </si>
  <si>
    <t>Ein.verð</t>
  </si>
  <si>
    <t>Fletti-</t>
  </si>
  <si>
    <t>Tilvísun</t>
  </si>
  <si>
    <t>Magn</t>
  </si>
  <si>
    <t>Ein.</t>
  </si>
  <si>
    <t>dagsetn.</t>
  </si>
  <si>
    <t>númer</t>
  </si>
  <si>
    <t>1.2</t>
  </si>
  <si>
    <t>AÐSTAÐA, FRÁGANGUR O.FL.</t>
  </si>
  <si>
    <t xml:space="preserve">Liður 1.2 - samtals flutt á safnblað : </t>
  </si>
  <si>
    <t>1.3</t>
  </si>
  <si>
    <t>REIKNINGSVINNA</t>
  </si>
  <si>
    <t>Menn</t>
  </si>
  <si>
    <t>Vélar</t>
  </si>
  <si>
    <t xml:space="preserve">Liður 1.3 - samtals flutt á safnblað : </t>
  </si>
  <si>
    <t>1.4</t>
  </si>
  <si>
    <t xml:space="preserve">Liður 1.4 - samtals flutt á safnblað : </t>
  </si>
  <si>
    <t>1.5</t>
  </si>
  <si>
    <t>YFIRBORÐSFRÁGANGUR</t>
  </si>
  <si>
    <t>Heild</t>
  </si>
  <si>
    <t xml:space="preserve">Liður 1.5 - samtals flutt á safnblað : </t>
  </si>
  <si>
    <t xml:space="preserve">Samtala : </t>
  </si>
  <si>
    <t xml:space="preserve">Ófyrirséð ( % ) : </t>
  </si>
  <si>
    <t xml:space="preserve">Tilboðsskrá </t>
  </si>
  <si>
    <t xml:space="preserve">Samtals : </t>
  </si>
  <si>
    <t xml:space="preserve">Heild : </t>
  </si>
  <si>
    <t>Einingaverð fyrir jarðvinnu</t>
  </si>
  <si>
    <t>Fletti</t>
  </si>
  <si>
    <t>Liður</t>
  </si>
  <si>
    <t>dags.</t>
  </si>
  <si>
    <t>Aðstaða</t>
  </si>
  <si>
    <t>heild</t>
  </si>
  <si>
    <t>Öryggisráðstafanir</t>
  </si>
  <si>
    <t>Merkingar</t>
  </si>
  <si>
    <t>Frágangur í verklok</t>
  </si>
  <si>
    <t>Verkamaður</t>
  </si>
  <si>
    <t>klst.</t>
  </si>
  <si>
    <t>Vélamenn/bílstjórar</t>
  </si>
  <si>
    <t>Iðnaðarmaður</t>
  </si>
  <si>
    <t>Mælingamaður</t>
  </si>
  <si>
    <t>Tæknimaður</t>
  </si>
  <si>
    <t>Bakkóvél</t>
  </si>
  <si>
    <t>Bakkóvél stór</t>
  </si>
  <si>
    <t>Hjólaskófla</t>
  </si>
  <si>
    <t>Hjólaskófla stór</t>
  </si>
  <si>
    <t>Traktorsgrafa</t>
  </si>
  <si>
    <t>Smágrafa</t>
  </si>
  <si>
    <t>Vörubíll  lítill</t>
  </si>
  <si>
    <t xml:space="preserve">Vörubíll  </t>
  </si>
  <si>
    <t>Vörubíll með krana</t>
  </si>
  <si>
    <t>Dráttarbíll</t>
  </si>
  <si>
    <t>Brjóta steypu og fjarlægja</t>
  </si>
  <si>
    <r>
      <t>m</t>
    </r>
    <r>
      <rPr>
        <vertAlign val="superscript"/>
        <sz val="11"/>
        <color theme="1"/>
        <rFont val="Calibri"/>
        <family val="2"/>
        <scheme val="minor"/>
      </rPr>
      <t>2</t>
    </r>
  </si>
  <si>
    <t>Brjóta malbik og fjarlægja</t>
  </si>
  <si>
    <t>Gröftur - brottakstur</t>
  </si>
  <si>
    <r>
      <t>m</t>
    </r>
    <r>
      <rPr>
        <vertAlign val="superscript"/>
        <sz val="11"/>
        <color theme="1"/>
        <rFont val="Calibri"/>
        <family val="2"/>
        <scheme val="minor"/>
      </rPr>
      <t>3</t>
    </r>
  </si>
  <si>
    <t>Gröftur - innan svæðis</t>
  </si>
  <si>
    <t>Fylling</t>
  </si>
  <si>
    <t>Malarfylling</t>
  </si>
  <si>
    <t>Malarfylling burðarlag</t>
  </si>
  <si>
    <t>Sögun á steypu / malbiki</t>
  </si>
  <si>
    <t>m</t>
  </si>
  <si>
    <t>Fræsing yfirborðs</t>
  </si>
  <si>
    <t>Fræsing yfirborðs fínfræsing</t>
  </si>
  <si>
    <t>Fræsa fláa</t>
  </si>
  <si>
    <t>Fræsa ramma við niðurföll</t>
  </si>
  <si>
    <t>stk.</t>
  </si>
  <si>
    <t>Taka upp götujárn - brunnur</t>
  </si>
  <si>
    <t>Taka upp götujárn - vatnssp.</t>
  </si>
  <si>
    <t>Taka upp götujárn - niðurfall</t>
  </si>
  <si>
    <t>Jöfnunarlag udir malbik</t>
  </si>
  <si>
    <t>Malbikun SL 8 - 20 mm</t>
  </si>
  <si>
    <t>Malbikun SL 11 - 50 mm</t>
  </si>
  <si>
    <r>
      <t xml:space="preserve">Malbikun SL 16 - </t>
    </r>
    <r>
      <rPr>
        <sz val="11"/>
        <color theme="1"/>
        <rFont val="Calibri"/>
        <family val="2"/>
      </rPr>
      <t>≥ 50</t>
    </r>
    <r>
      <rPr>
        <sz val="11"/>
        <color theme="1"/>
        <rFont val="Calibri"/>
        <family val="2"/>
        <scheme val="minor"/>
      </rPr>
      <t xml:space="preserve"> mm</t>
    </r>
  </si>
  <si>
    <r>
      <t xml:space="preserve">Malbikun BRL 16 - </t>
    </r>
    <r>
      <rPr>
        <sz val="11"/>
        <color theme="1"/>
        <rFont val="Calibri"/>
        <family val="2"/>
      </rPr>
      <t>≥ 50</t>
    </r>
    <r>
      <rPr>
        <sz val="11"/>
        <color theme="1"/>
        <rFont val="Calibri"/>
        <family val="2"/>
        <scheme val="minor"/>
      </rPr>
      <t xml:space="preserve"> mm</t>
    </r>
  </si>
  <si>
    <t>Steyptur kantsteinn 100 mm</t>
  </si>
  <si>
    <t>Götuniðurf. með sandf. og v.lás</t>
  </si>
  <si>
    <t>Pípulögn 150 mm Steypt</t>
  </si>
  <si>
    <t>Hreinsibrunnur 1000 mm</t>
  </si>
  <si>
    <t>Lok á hreinsibrunn</t>
  </si>
  <si>
    <t>Frárennslislögn 100 mm PVC</t>
  </si>
  <si>
    <t>Frárennslisrör 100 mm PVC</t>
  </si>
  <si>
    <t>Ídráttarrör fyrir rafmagn</t>
  </si>
  <si>
    <t>Grjótsvelgur</t>
  </si>
  <si>
    <t>Drenmöl</t>
  </si>
  <si>
    <t>Þökulagning</t>
  </si>
  <si>
    <t>Brjóta og fjarlægja kantstein</t>
  </si>
  <si>
    <t>Spá</t>
  </si>
  <si>
    <t>Brjóta upp steypta gangst.</t>
  </si>
  <si>
    <t>Steypa gangst. með kantst.</t>
  </si>
  <si>
    <t>Malbika gangstétt</t>
  </si>
  <si>
    <t>Borað fyrir steyputeinum</t>
  </si>
  <si>
    <t>Járnamotta</t>
  </si>
  <si>
    <t>Steypa C 35</t>
  </si>
  <si>
    <t>Bendid. HaTelit C 40/17</t>
  </si>
  <si>
    <t>Bendid. Samigrid XP 50</t>
  </si>
  <si>
    <t>Vinna / efni við dúka</t>
  </si>
  <si>
    <t>Esjubraut ( Þjóðbr./Kalm.br. )    + Kalmanstorg</t>
  </si>
  <si>
    <t>Lauslegt kostnaðarmat</t>
  </si>
  <si>
    <t>FORVINNA / JARÐVINNA</t>
  </si>
  <si>
    <t>Dregið í mishæðir</t>
  </si>
  <si>
    <t>Torg + fl.</t>
  </si>
  <si>
    <t>Útfærsla Gatnamóta ( ? ) - Kalmansbraut - Esjubraut</t>
  </si>
  <si>
    <t>Einföld krossgatnamót</t>
  </si>
  <si>
    <t>Útfærsla Gatnamóta ( ? ) - Esjubraut - Dalbr. - Smiðjuv.</t>
  </si>
  <si>
    <t>Breytingar</t>
  </si>
  <si>
    <t>Nýr stígur norðan við ( ? )</t>
  </si>
  <si>
    <t>Frá Smiðjuvöllum að ( ? )</t>
  </si>
  <si>
    <t>Útfærslur v/ umferðaröryggi ( ? )</t>
  </si>
  <si>
    <t>Mest gönguþveranir</t>
  </si>
  <si>
    <t>( Dúklagt frá Víkurbraut og inn fyrir Viðigrund )</t>
  </si>
  <si>
    <t>Útfærslur v/ umferðaröryggi</t>
  </si>
  <si>
    <t>Frá kalmansbraut ( ? )</t>
  </si>
  <si>
    <t>Gönguþverun - Þrengingar</t>
  </si>
  <si>
    <t>Framlag bæjarins til nýs golfskála næstu 10.ár.</t>
  </si>
  <si>
    <t>Stofnstígar/reiðstígar</t>
  </si>
  <si>
    <t>Útskipting á grasi, uppfæra lýsingu og mála annan langvegginn.</t>
  </si>
  <si>
    <t>Sbr. plan útfrá greinargerð Landslags/reiðvegir</t>
  </si>
  <si>
    <r>
      <t>Framkvæmdaráætlun Akraneskaupstaðar 2017 - 2021,</t>
    </r>
    <r>
      <rPr>
        <b/>
        <sz val="20"/>
        <color rgb="FFFF0000"/>
        <rFont val="Calibri"/>
        <family val="2"/>
        <scheme val="minor"/>
      </rPr>
      <t xml:space="preserve">  Drög</t>
    </r>
  </si>
  <si>
    <t>Brekkubæjarskóli</t>
  </si>
  <si>
    <t>Sundlaug/pottar/rennibraut</t>
  </si>
  <si>
    <t>Fimleikahús/viðbygging Vesturg.</t>
  </si>
  <si>
    <t>Golfskáli</t>
  </si>
  <si>
    <t>Brekkubæjarskóli breytingar</t>
  </si>
  <si>
    <t>Feban-Dalbraut</t>
  </si>
  <si>
    <t>Byggðasafn</t>
  </si>
  <si>
    <t>Stærri viðhaldsverkefni</t>
  </si>
  <si>
    <t>Akraneshöll gervigras</t>
  </si>
  <si>
    <t>2017   (mkr.)</t>
  </si>
  <si>
    <t>2018      (mkr.)</t>
  </si>
  <si>
    <t>2019      (mkr.)</t>
  </si>
  <si>
    <t>2020    (mkr.)</t>
  </si>
  <si>
    <t>Alls     (mkr.)</t>
  </si>
  <si>
    <t>Rekstur</t>
  </si>
  <si>
    <t>Stækkun Grundarskóla</t>
  </si>
  <si>
    <t>Götur, stígar, lóðir og opin svæði</t>
  </si>
  <si>
    <t>Gjaldf.í %</t>
  </si>
  <si>
    <t>Verkliðir</t>
  </si>
  <si>
    <t>% gjaldfærsla af fjárf.</t>
  </si>
  <si>
    <t>Byggðasafn stærri viðhaldsverkefni</t>
  </si>
  <si>
    <t>Sambýli (ses)</t>
  </si>
  <si>
    <t>Íbúðir, framlag, (ses)</t>
  </si>
  <si>
    <t>Íbúðir (Félagslegar)</t>
  </si>
  <si>
    <t>Viðhald á byggðasafnssvæði</t>
  </si>
  <si>
    <t>Vesturgata frá Merkigerði-Stillholt, Esjubraut, Garðagrund, ljós Stillholt/Kirkjubr, umferðaröryggi.</t>
  </si>
  <si>
    <t>Byggðasafn/sýning</t>
  </si>
  <si>
    <t>Slökkvilið Akraness og Hvalfjarðarsveitar</t>
  </si>
  <si>
    <t>Viðbót við fjárhagsáætlun 2017 tækjakaup</t>
  </si>
  <si>
    <t>Körfubíll,Slökkvibílar</t>
  </si>
  <si>
    <t>?</t>
  </si>
  <si>
    <t>c/c 50-100 milj.</t>
  </si>
  <si>
    <t>Slöngur endurnýja</t>
  </si>
  <si>
    <t>Fatnaður</t>
  </si>
  <si>
    <t>Fjarskipti</t>
  </si>
  <si>
    <t>Mengunarvarnir</t>
  </si>
  <si>
    <t>Klippubúnaður viðbót</t>
  </si>
  <si>
    <t>Reykköfunarbúnaður</t>
  </si>
  <si>
    <t>Útektir /Áætlanir (Brunavarnaáætlun)</t>
  </si>
  <si>
    <t>Nissan</t>
  </si>
  <si>
    <t>Vatnsþró</t>
  </si>
  <si>
    <t>Þvottavél,þurkari</t>
  </si>
  <si>
    <t>Slökkvilið endurnýjun búnaðar</t>
  </si>
  <si>
    <t>Breyting á sýningarhaldi til framtíðar.</t>
  </si>
  <si>
    <t>Pottasvæði klárað 2017, rennbrautir 2019</t>
  </si>
  <si>
    <t>Heit laug við Langasand, tilboð liggur fyrir.</t>
  </si>
  <si>
    <t>Fimleikahús, eftir að velja staðsetningu, verð miðast við 1400 fermetra hús, reiknað með að búningsaðstaða sé fyrir hendi. Tölur sem liggja fyrir eru fyrir Vesturgötu og þær því sýndar (Kristján Andrými) ítrekað þó að staðsetning liggur ekki fyrir.</t>
  </si>
  <si>
    <t xml:space="preserve">Sambærilegt og verkefnið við Skólabraut-Kirkjubraut árið 2015. </t>
  </si>
  <si>
    <t>Niðurrif byrjar 2017 og klárast 2018.</t>
  </si>
  <si>
    <t>Skipulag klárast fyrri part ársins 2017. Verkefnið kynnt áhugasömum fjárfestum m.a. í tengslum við FEBAN. Skoða hvernig farið verður með lagnamál í samráði við OR.</t>
  </si>
  <si>
    <t>Byrja uppbyggingu á tjaldsvæði, rafmagnsmál.</t>
  </si>
  <si>
    <t>Framhald verður skoðað.</t>
  </si>
  <si>
    <t>Múrviðgerð, málun og lagfæring á þaki.</t>
  </si>
  <si>
    <t>Þarf að lagfæra gafla og þak skemmu.</t>
  </si>
  <si>
    <t>Huga að viðhaldi gafla við Akraneshöll.</t>
  </si>
  <si>
    <t>Lagfæring og breyting á rýmum.</t>
  </si>
  <si>
    <t>Sbr. listi</t>
  </si>
  <si>
    <t>Verkefni</t>
  </si>
  <si>
    <t>Des</t>
  </si>
  <si>
    <t>Jan</t>
  </si>
  <si>
    <t>Feb</t>
  </si>
  <si>
    <t>Mars</t>
  </si>
  <si>
    <t>Apríl</t>
  </si>
  <si>
    <t>Maí</t>
  </si>
  <si>
    <t>Júní</t>
  </si>
  <si>
    <t>Júlí</t>
  </si>
  <si>
    <t>Ágúst</t>
  </si>
  <si>
    <t>Sept</t>
  </si>
  <si>
    <t>Okt</t>
  </si>
  <si>
    <t>Nóv</t>
  </si>
  <si>
    <t>Gangstéttar í nýjum hverfum</t>
  </si>
  <si>
    <t>Götur, endurgerð Vesturgötu</t>
  </si>
  <si>
    <t>Gerð útboðsgagna</t>
  </si>
  <si>
    <t>Útboðsauglýsing</t>
  </si>
  <si>
    <t>Verktaki ákveðinn</t>
  </si>
  <si>
    <t>Fundur með íbúum</t>
  </si>
  <si>
    <t>Verkefni byrjar</t>
  </si>
  <si>
    <t>Verktími</t>
  </si>
  <si>
    <t>Verklok</t>
  </si>
  <si>
    <t>Tímaplan stærstu framkvæmda-og fjárfestingarverkefna 2017</t>
  </si>
  <si>
    <t>Sundlaug endurnýjun potta, yfirborðs, girðing</t>
  </si>
  <si>
    <t>Verk byrjaði 17.okt. 2016.</t>
  </si>
  <si>
    <t>Fimleikahús</t>
  </si>
  <si>
    <t>Ákveða staðsetningu</t>
  </si>
  <si>
    <t>Breyta skipulagi (ef þarf)</t>
  </si>
  <si>
    <t>Verðkönnun varðandi hönnunarvinnu</t>
  </si>
  <si>
    <t xml:space="preserve">Hönnunarvinna af stað </t>
  </si>
  <si>
    <t>Hönnunarvinna í gangi</t>
  </si>
  <si>
    <t>Hönnunarvinnu lýkur</t>
  </si>
  <si>
    <t>Úboð á verki</t>
  </si>
  <si>
    <t>Lok verkefnis 2018</t>
  </si>
  <si>
    <t>Sementsreitur skipulag/rif</t>
  </si>
  <si>
    <t>Klára tillögu að deiliskipulagi</t>
  </si>
  <si>
    <t>Siglingastofnun meta umfang fyllingar (ný fylling), grjótvörn, áhrif á Langasand</t>
  </si>
  <si>
    <t>Fá svör hvort þurfi í umhverfismat v. fyllinga við Sementstreit</t>
  </si>
  <si>
    <t>Ef umhverfismat þarf v. fyllinga setja af stað vinnu vegna þess</t>
  </si>
  <si>
    <t>Húsaskráning skv. Minjastofnun</t>
  </si>
  <si>
    <t>Kynningarfundur</t>
  </si>
  <si>
    <t>Bæjarstjórn samþ. auglýsingu</t>
  </si>
  <si>
    <t>Auglýsingatími</t>
  </si>
  <si>
    <t xml:space="preserve">Athugasemdir </t>
  </si>
  <si>
    <t>Verktaki ákveðin með fyrirvara um að skipulag gangi eftir.</t>
  </si>
  <si>
    <t>Rif byrja</t>
  </si>
  <si>
    <t>Gögn vegna breytingar á aðalskipulagi Sementsreits og Dalbrautarreits</t>
  </si>
  <si>
    <t>Skipulagslýsing v. aðalskipulagsbreytingar og deiliskipulagsbr Sementsreit og Dalbr.reit.</t>
  </si>
  <si>
    <t>B-deild deiliskipulag/aðalskipulag</t>
  </si>
  <si>
    <t>Útboðsgögn fyrir niðurrif</t>
  </si>
  <si>
    <t>Útboð á niðurrifi</t>
  </si>
  <si>
    <t>Skipulagslýsing auglýst</t>
  </si>
  <si>
    <t>Akraneshöll endurnýjun gerfigrass</t>
  </si>
  <si>
    <t>Útbúa útboðsgögn</t>
  </si>
  <si>
    <t>Útboð á verki (hugsanlega í samfloti við aðra)</t>
  </si>
  <si>
    <t>Lok verkefnis</t>
  </si>
  <si>
    <t xml:space="preserve">Skipulags-og umhverfisráð samþ. að leggja til við bæjarst. auglýsingu á deiliskl og aðalsklbr.reitsins </t>
  </si>
  <si>
    <t>Breytingar innanhúss til að ná betri nýtingu á skólanum.</t>
  </si>
  <si>
    <r>
      <t>Framkvæmdaráætlun Akraneskaupstaðar 2017 - 2020,</t>
    </r>
    <r>
      <rPr>
        <b/>
        <sz val="20"/>
        <color rgb="FFFF0000"/>
        <rFont val="Calibri"/>
        <family val="2"/>
        <scheme val="minor"/>
      </rPr>
      <t xml:space="preserve">  </t>
    </r>
    <r>
      <rPr>
        <b/>
        <sz val="20"/>
        <rFont val="Calibri"/>
        <family val="2"/>
        <scheme val="minor"/>
      </rPr>
      <t>lokaskjal frá S+U</t>
    </r>
  </si>
  <si>
    <t>Fjárfestinga-og framkvæmdaáætlun 2017-2020</t>
  </si>
  <si>
    <t>Tillaga bæjarráðs: 10 mkr. færðar á árið 2017</t>
  </si>
  <si>
    <t>Bifreið fyrir ferðaþjónustu fatlaðra</t>
  </si>
  <si>
    <t>Brynja Hússjóður Öryrkjabandalagsins, 2 íbúðir 2017, 3 íbúðir 2018 - 16% regla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</si>
</sst>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164" formatCode="0.0%"/>
    <numFmt numFmtId="165" formatCode="#,##0.0"/>
    <numFmt numFmtId="166" formatCode="_-* #,##0.000\ _k_r_._-;\-* #,##0.000\ _k_r_._-;_-* &quot;-&quot;\ _k_r_._-;_-@_-"/>
    <numFmt numFmtId="167" formatCode="_-* #,##0.00\ _k_r_._-;\-* #,##0.00\ _k_r_._-;_-* &quot;-&quot;\ _k_r_._-;_-@_-"/>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9"/>
      <color indexed="81"/>
      <name val="Tahoma"/>
      <family val="2"/>
    </font>
    <font>
      <b/>
      <sz val="9"/>
      <color indexed="81"/>
      <name val="Tahoma"/>
      <family val="2"/>
    </font>
    <font>
      <b/>
      <sz val="11"/>
      <color rgb="FF0070C0"/>
      <name val="Calibri"/>
      <family val="2"/>
      <scheme val="minor"/>
    </font>
    <font>
      <sz val="11"/>
      <name val="Calibri"/>
      <family val="2"/>
      <scheme val="minor"/>
    </font>
    <font>
      <b/>
      <sz val="12"/>
      <name val="Arial"/>
      <family val="2"/>
    </font>
    <font>
      <b/>
      <sz val="20"/>
      <color theme="1"/>
      <name val="Calibri"/>
      <family val="2"/>
      <scheme val="minor"/>
    </font>
    <font>
      <sz val="10"/>
      <name val="Arial"/>
      <family val="2"/>
    </font>
    <font>
      <b/>
      <sz val="14"/>
      <color rgb="FF0070C0"/>
      <name val="Calibri"/>
      <family val="2"/>
      <scheme val="minor"/>
    </font>
    <font>
      <b/>
      <sz val="14"/>
      <color rgb="FF00B050"/>
      <name val="Calibri"/>
      <family val="2"/>
      <scheme val="minor"/>
    </font>
    <font>
      <b/>
      <sz val="11"/>
      <name val="Calibri"/>
      <family val="2"/>
      <scheme val="minor"/>
    </font>
    <font>
      <sz val="12"/>
      <color indexed="8"/>
      <name val="Times New Roman"/>
      <family val="1"/>
    </font>
    <font>
      <b/>
      <sz val="11"/>
      <name val="Arial"/>
      <family val="2"/>
    </font>
    <font>
      <b/>
      <sz val="14"/>
      <name val="Calibri"/>
      <family val="2"/>
      <scheme val="minor"/>
    </font>
    <font>
      <b/>
      <sz val="20"/>
      <color rgb="FFFF0000"/>
      <name val="Calibri"/>
      <family val="2"/>
      <scheme val="minor"/>
    </font>
    <font>
      <b/>
      <sz val="12"/>
      <color theme="1"/>
      <name val="Calibri"/>
      <family val="2"/>
      <scheme val="minor"/>
    </font>
    <font>
      <sz val="10"/>
      <color theme="1"/>
      <name val="Calibri"/>
      <family val="2"/>
      <scheme val="minor"/>
    </font>
    <font>
      <sz val="9"/>
      <color theme="0" tint="-0.499984740745262"/>
      <name val="Calibri"/>
      <family val="2"/>
      <scheme val="minor"/>
    </font>
    <font>
      <sz val="12"/>
      <color theme="1"/>
      <name val="Calibri"/>
      <family val="2"/>
      <scheme val="minor"/>
    </font>
    <font>
      <vertAlign val="superscript"/>
      <sz val="11"/>
      <color theme="1"/>
      <name val="Calibri"/>
      <family val="2"/>
      <scheme val="minor"/>
    </font>
    <font>
      <sz val="11"/>
      <color theme="1"/>
      <name val="Calibri"/>
      <family val="2"/>
    </font>
    <font>
      <i/>
      <sz val="11"/>
      <color theme="1"/>
      <name val="Calibri"/>
      <family val="2"/>
      <scheme val="minor"/>
    </font>
    <font>
      <i/>
      <sz val="10"/>
      <color theme="1"/>
      <name val="Calibri"/>
      <family val="2"/>
      <scheme val="minor"/>
    </font>
    <font>
      <b/>
      <sz val="11"/>
      <color rgb="FFFF0000"/>
      <name val="Calibri"/>
      <family val="2"/>
      <scheme val="minor"/>
    </font>
    <font>
      <b/>
      <i/>
      <sz val="11"/>
      <color theme="1"/>
      <name val="Calibri"/>
      <family val="2"/>
      <scheme val="minor"/>
    </font>
    <font>
      <sz val="10"/>
      <color rgb="FFFF0000"/>
      <name val="Calibri"/>
      <family val="2"/>
      <scheme val="minor"/>
    </font>
    <font>
      <b/>
      <sz val="20"/>
      <name val="Calibri"/>
      <family val="2"/>
      <scheme val="minor"/>
    </font>
    <font>
      <i/>
      <sz val="11"/>
      <color rgb="FFFF0000"/>
      <name val="Calibri"/>
      <family val="2"/>
      <scheme val="minor"/>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79998168889431442"/>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indexed="64"/>
      </right>
      <top style="thin">
        <color auto="1"/>
      </top>
      <bottom style="thin">
        <color auto="1"/>
      </bottom>
      <diagonal/>
    </border>
    <border>
      <left style="hair">
        <color indexed="64"/>
      </left>
      <right/>
      <top style="thin">
        <color auto="1"/>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5">
    <xf numFmtId="0" fontId="0" fillId="0" borderId="0"/>
    <xf numFmtId="41" fontId="1" fillId="0" borderId="0" applyFont="0" applyFill="0" applyBorder="0" applyAlignment="0" applyProtection="0"/>
    <xf numFmtId="0" fontId="6" fillId="0" borderId="0" applyNumberFormat="0" applyFill="0" applyBorder="0" applyAlignment="0" applyProtection="0"/>
    <xf numFmtId="0" fontId="7" fillId="0" borderId="12" applyNumberFormat="0" applyFill="0" applyAlignment="0" applyProtection="0"/>
    <xf numFmtId="0" fontId="8" fillId="0" borderId="13" applyNumberFormat="0" applyFill="0" applyAlignment="0" applyProtection="0"/>
    <xf numFmtId="0" fontId="9" fillId="0" borderId="14"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15" applyNumberFormat="0" applyAlignment="0" applyProtection="0"/>
    <xf numFmtId="0" fontId="14" fillId="7" borderId="16" applyNumberFormat="0" applyAlignment="0" applyProtection="0"/>
    <xf numFmtId="0" fontId="15" fillId="7" borderId="15" applyNumberFormat="0" applyAlignment="0" applyProtection="0"/>
    <xf numFmtId="0" fontId="16" fillId="0" borderId="17" applyNumberFormat="0" applyFill="0" applyAlignment="0" applyProtection="0"/>
    <xf numFmtId="0" fontId="17" fillId="8" borderId="18" applyNumberFormat="0" applyAlignment="0" applyProtection="0"/>
    <xf numFmtId="0" fontId="18" fillId="0" borderId="0" applyNumberFormat="0" applyFill="0" applyBorder="0" applyAlignment="0" applyProtection="0"/>
    <xf numFmtId="0" fontId="1" fillId="9" borderId="19" applyNumberFormat="0" applyFont="0" applyAlignment="0" applyProtection="0"/>
    <xf numFmtId="0" fontId="19" fillId="0" borderId="0" applyNumberFormat="0" applyFill="0" applyBorder="0" applyAlignment="0" applyProtection="0"/>
    <xf numFmtId="0" fontId="2" fillId="0" borderId="20"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3" borderId="0" applyNumberFormat="0" applyBorder="0" applyAlignment="0" applyProtection="0"/>
    <xf numFmtId="0" fontId="21" fillId="0" borderId="0"/>
    <xf numFmtId="0" fontId="22" fillId="0" borderId="0"/>
    <xf numFmtId="0" fontId="1" fillId="9" borderId="19"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0" borderId="0"/>
    <xf numFmtId="0" fontId="33" fillId="0" borderId="0"/>
    <xf numFmtId="0" fontId="21" fillId="0" borderId="0"/>
    <xf numFmtId="0" fontId="27" fillId="0" borderId="0">
      <alignment horizontal="left"/>
    </xf>
    <xf numFmtId="0" fontId="34" fillId="0" borderId="0"/>
    <xf numFmtId="0" fontId="21" fillId="0" borderId="0"/>
    <xf numFmtId="9" fontId="1" fillId="0" borderId="0" applyFont="0" applyFill="0" applyBorder="0" applyAlignment="0" applyProtection="0"/>
  </cellStyleXfs>
  <cellXfs count="252">
    <xf numFmtId="0" fontId="0" fillId="0" borderId="0" xfId="0"/>
    <xf numFmtId="14" fontId="3" fillId="2" borderId="4" xfId="0" applyNumberFormat="1" applyFont="1" applyFill="1" applyBorder="1" applyAlignment="1">
      <alignment horizontal="left" vertical="top" wrapText="1"/>
    </xf>
    <xf numFmtId="0" fontId="3" fillId="2" borderId="6" xfId="0" applyFont="1" applyFill="1" applyBorder="1" applyAlignment="1">
      <alignment vertical="top" wrapText="1"/>
    </xf>
    <xf numFmtId="0" fontId="0" fillId="2" borderId="7" xfId="0" applyFill="1" applyBorder="1" applyAlignment="1">
      <alignment vertical="top" wrapText="1"/>
    </xf>
    <xf numFmtId="0" fontId="0" fillId="2" borderId="9" xfId="0" applyFill="1" applyBorder="1" applyAlignment="1">
      <alignment vertical="top" wrapText="1"/>
    </xf>
    <xf numFmtId="14" fontId="3" fillId="2" borderId="5" xfId="0" applyNumberFormat="1" applyFont="1" applyFill="1" applyBorder="1" applyAlignment="1">
      <alignment horizontal="left" vertical="top" wrapText="1"/>
    </xf>
    <xf numFmtId="0" fontId="0" fillId="0" borderId="0" xfId="0" applyAlignment="1">
      <alignment vertical="top" wrapText="1"/>
    </xf>
    <xf numFmtId="0" fontId="4" fillId="35" borderId="1" xfId="0" applyFont="1" applyFill="1" applyBorder="1" applyAlignment="1">
      <alignment vertical="top" wrapText="1"/>
    </xf>
    <xf numFmtId="0" fontId="5" fillId="35" borderId="3" xfId="0" applyFont="1" applyFill="1" applyBorder="1" applyAlignment="1">
      <alignment vertical="top" wrapText="1"/>
    </xf>
    <xf numFmtId="0" fontId="4" fillId="0" borderId="0" xfId="0" applyFont="1" applyAlignment="1">
      <alignment vertical="top" wrapText="1"/>
    </xf>
    <xf numFmtId="0" fontId="32" fillId="2" borderId="25" xfId="0" applyFont="1" applyFill="1" applyBorder="1" applyAlignment="1">
      <alignment vertical="top" wrapText="1"/>
    </xf>
    <xf numFmtId="0" fontId="4" fillId="2" borderId="7" xfId="0" applyFont="1" applyFill="1" applyBorder="1" applyAlignment="1">
      <alignment vertical="top" wrapText="1"/>
    </xf>
    <xf numFmtId="0" fontId="0" fillId="2" borderId="23" xfId="0" applyFill="1" applyBorder="1" applyAlignment="1">
      <alignment vertical="top" wrapText="1"/>
    </xf>
    <xf numFmtId="0" fontId="3" fillId="2" borderId="21" xfId="0" applyFont="1" applyFill="1" applyBorder="1" applyAlignment="1">
      <alignment vertical="top" wrapText="1"/>
    </xf>
    <xf numFmtId="0" fontId="32" fillId="2" borderId="7" xfId="0" applyFont="1" applyFill="1" applyBorder="1" applyAlignment="1">
      <alignment vertical="top" wrapText="1"/>
    </xf>
    <xf numFmtId="0" fontId="0" fillId="2" borderId="7" xfId="0" applyFont="1" applyFill="1" applyBorder="1" applyAlignment="1">
      <alignment vertical="top" wrapText="1"/>
    </xf>
    <xf numFmtId="0" fontId="3" fillId="2" borderId="22" xfId="0" applyFont="1" applyFill="1" applyBorder="1" applyAlignment="1">
      <alignment vertical="top" wrapText="1"/>
    </xf>
    <xf numFmtId="0" fontId="0" fillId="2" borderId="21" xfId="0" applyFill="1" applyBorder="1" applyAlignment="1">
      <alignment vertical="top" wrapText="1"/>
    </xf>
    <xf numFmtId="0" fontId="0" fillId="2" borderId="27" xfId="0" applyFont="1" applyFill="1" applyBorder="1" applyAlignment="1">
      <alignment vertical="top" wrapText="1"/>
    </xf>
    <xf numFmtId="0" fontId="0" fillId="2" borderId="21" xfId="0" applyFont="1" applyFill="1" applyBorder="1" applyAlignment="1">
      <alignment vertical="top" wrapText="1"/>
    </xf>
    <xf numFmtId="41" fontId="0" fillId="34" borderId="8" xfId="1" applyFont="1" applyFill="1" applyBorder="1" applyAlignment="1">
      <alignment vertical="top" wrapText="1"/>
    </xf>
    <xf numFmtId="41" fontId="0" fillId="2" borderId="7" xfId="1" applyFont="1" applyFill="1" applyBorder="1" applyAlignment="1">
      <alignment vertical="top" wrapText="1"/>
    </xf>
    <xf numFmtId="41" fontId="0" fillId="2" borderId="8" xfId="1" applyFont="1" applyFill="1" applyBorder="1" applyAlignment="1">
      <alignment vertical="top" wrapText="1"/>
    </xf>
    <xf numFmtId="0" fontId="0" fillId="2" borderId="4" xfId="0" applyFill="1" applyBorder="1" applyAlignment="1">
      <alignment vertical="top" wrapText="1"/>
    </xf>
    <xf numFmtId="0" fontId="35" fillId="2" borderId="7" xfId="0" applyFont="1" applyFill="1" applyBorder="1" applyAlignment="1">
      <alignment vertical="top" wrapText="1"/>
    </xf>
    <xf numFmtId="41" fontId="4" fillId="35" borderId="1" xfId="1" applyFont="1" applyFill="1" applyBorder="1" applyAlignment="1">
      <alignment vertical="top" wrapText="1"/>
    </xf>
    <xf numFmtId="41" fontId="4" fillId="35" borderId="3" xfId="1" applyFont="1" applyFill="1" applyBorder="1" applyAlignment="1">
      <alignment vertical="top" wrapText="1"/>
    </xf>
    <xf numFmtId="41" fontId="2" fillId="34" borderId="6" xfId="1" applyFont="1" applyFill="1" applyBorder="1" applyAlignment="1">
      <alignment horizontal="center" vertical="top" wrapText="1"/>
    </xf>
    <xf numFmtId="41" fontId="2" fillId="2" borderId="4" xfId="1" applyFont="1" applyFill="1" applyBorder="1" applyAlignment="1">
      <alignment horizontal="center" vertical="top" wrapText="1"/>
    </xf>
    <xf numFmtId="41" fontId="2" fillId="2" borderId="6" xfId="1" applyFont="1" applyFill="1" applyBorder="1" applyAlignment="1">
      <alignment horizontal="center" vertical="top" wrapText="1"/>
    </xf>
    <xf numFmtId="41" fontId="2" fillId="2" borderId="7" xfId="1" applyFont="1" applyFill="1" applyBorder="1" applyAlignment="1">
      <alignment horizontal="center" vertical="top" wrapText="1"/>
    </xf>
    <xf numFmtId="41" fontId="2" fillId="2" borderId="8" xfId="1" applyFont="1" applyFill="1" applyBorder="1" applyAlignment="1">
      <alignment horizontal="center" vertical="top" wrapText="1"/>
    </xf>
    <xf numFmtId="41" fontId="32" fillId="2" borderId="25" xfId="1" applyFont="1" applyFill="1" applyBorder="1" applyAlignment="1">
      <alignment vertical="top" wrapText="1"/>
    </xf>
    <xf numFmtId="41" fontId="32" fillId="2" borderId="26" xfId="1" applyFont="1" applyFill="1" applyBorder="1" applyAlignment="1">
      <alignment vertical="top" wrapText="1"/>
    </xf>
    <xf numFmtId="41" fontId="32" fillId="2" borderId="7" xfId="1" applyFont="1" applyFill="1" applyBorder="1" applyAlignment="1">
      <alignment vertical="top" wrapText="1"/>
    </xf>
    <xf numFmtId="41" fontId="32" fillId="2" borderId="8" xfId="1" applyFont="1" applyFill="1" applyBorder="1" applyAlignment="1">
      <alignment vertical="top" wrapText="1"/>
    </xf>
    <xf numFmtId="41" fontId="26" fillId="2" borderId="8" xfId="1" applyFont="1" applyFill="1" applyBorder="1" applyAlignment="1">
      <alignment vertical="top" wrapText="1"/>
    </xf>
    <xf numFmtId="41" fontId="26" fillId="2" borderId="7" xfId="1" applyFont="1" applyFill="1" applyBorder="1" applyAlignment="1">
      <alignment vertical="top" wrapText="1"/>
    </xf>
    <xf numFmtId="0" fontId="0" fillId="0" borderId="0" xfId="0" applyAlignment="1">
      <alignment horizontal="center"/>
    </xf>
    <xf numFmtId="41" fontId="0" fillId="0" borderId="0" xfId="1" applyFont="1"/>
    <xf numFmtId="0" fontId="2" fillId="0" borderId="0" xfId="0" applyFont="1" applyAlignment="1">
      <alignment horizontal="center"/>
    </xf>
    <xf numFmtId="0" fontId="2" fillId="0" borderId="0" xfId="0" applyFont="1"/>
    <xf numFmtId="0" fontId="3" fillId="0" borderId="0" xfId="0" applyFont="1"/>
    <xf numFmtId="0" fontId="0" fillId="0" borderId="0" xfId="0" applyAlignment="1">
      <alignment horizontal="right"/>
    </xf>
    <xf numFmtId="0" fontId="37" fillId="0" borderId="0" xfId="0" applyFont="1"/>
    <xf numFmtId="3" fontId="3" fillId="0" borderId="29" xfId="0" applyNumberFormat="1" applyFont="1" applyBorder="1" applyAlignment="1">
      <alignment horizontal="center"/>
    </xf>
    <xf numFmtId="0" fontId="38" fillId="0" borderId="0" xfId="0" applyFont="1" applyAlignment="1">
      <alignment horizontal="center"/>
    </xf>
    <xf numFmtId="0" fontId="3" fillId="0" borderId="29" xfId="0" applyFont="1" applyBorder="1" applyAlignment="1">
      <alignment horizontal="center"/>
    </xf>
    <xf numFmtId="3" fontId="3" fillId="0" borderId="30" xfId="0" applyNumberFormat="1" applyFont="1" applyFill="1" applyBorder="1" applyAlignment="1">
      <alignment horizontal="center"/>
    </xf>
    <xf numFmtId="0" fontId="2" fillId="0" borderId="31" xfId="0" applyNumberFormat="1" applyFont="1" applyBorder="1"/>
    <xf numFmtId="0" fontId="2" fillId="0" borderId="32" xfId="0" applyFont="1" applyBorder="1" applyAlignment="1">
      <alignment horizontal="center"/>
    </xf>
    <xf numFmtId="3" fontId="0" fillId="0" borderId="29" xfId="0" applyNumberFormat="1" applyBorder="1" applyAlignment="1">
      <alignment horizontal="center"/>
    </xf>
    <xf numFmtId="0" fontId="0" fillId="0" borderId="29" xfId="0" applyBorder="1" applyAlignment="1">
      <alignment horizontal="center"/>
    </xf>
    <xf numFmtId="49" fontId="0" fillId="0" borderId="33" xfId="0" applyNumberFormat="1" applyBorder="1" applyAlignment="1">
      <alignment horizontal="right"/>
    </xf>
    <xf numFmtId="0" fontId="0" fillId="0" borderId="33" xfId="0" applyFont="1" applyBorder="1"/>
    <xf numFmtId="3" fontId="0" fillId="0" borderId="33" xfId="0" applyNumberFormat="1" applyBorder="1" applyAlignment="1">
      <alignment horizontal="center" vertical="center"/>
    </xf>
    <xf numFmtId="0" fontId="0" fillId="0" borderId="33" xfId="0" applyFont="1" applyBorder="1" applyAlignment="1">
      <alignment horizontal="center" vertical="center"/>
    </xf>
    <xf numFmtId="3" fontId="0" fillId="0" borderId="33" xfId="0" applyNumberFormat="1" applyFont="1" applyBorder="1" applyAlignment="1">
      <alignment horizontal="center" vertical="center"/>
    </xf>
    <xf numFmtId="17" fontId="3" fillId="0" borderId="33" xfId="0" applyNumberFormat="1" applyFont="1" applyBorder="1" applyAlignment="1">
      <alignment horizontal="center" vertical="center"/>
    </xf>
    <xf numFmtId="49" fontId="2" fillId="0" borderId="33" xfId="0" applyNumberFormat="1" applyFont="1" applyBorder="1" applyAlignment="1">
      <alignment horizontal="right"/>
    </xf>
    <xf numFmtId="3" fontId="0" fillId="0" borderId="0" xfId="0" applyNumberFormat="1" applyAlignment="1">
      <alignment horizontal="center"/>
    </xf>
    <xf numFmtId="3" fontId="0" fillId="0" borderId="35" xfId="0" applyNumberFormat="1" applyBorder="1" applyAlignment="1">
      <alignment horizontal="center"/>
    </xf>
    <xf numFmtId="3" fontId="0" fillId="0" borderId="0" xfId="0" applyNumberFormat="1" applyBorder="1" applyAlignment="1">
      <alignment horizontal="center"/>
    </xf>
    <xf numFmtId="0" fontId="0" fillId="0" borderId="0" xfId="0" applyBorder="1" applyAlignment="1">
      <alignment horizontal="center"/>
    </xf>
    <xf numFmtId="3" fontId="0" fillId="0" borderId="0" xfId="0" applyNumberFormat="1"/>
    <xf numFmtId="49" fontId="2" fillId="0" borderId="31" xfId="0" applyNumberFormat="1" applyFont="1" applyBorder="1" applyAlignment="1">
      <alignment horizontal="left"/>
    </xf>
    <xf numFmtId="0" fontId="2" fillId="0" borderId="31" xfId="0" applyFont="1" applyBorder="1" applyAlignment="1">
      <alignment horizontal="center"/>
    </xf>
    <xf numFmtId="0" fontId="0" fillId="0" borderId="31" xfId="0" applyBorder="1"/>
    <xf numFmtId="49" fontId="0" fillId="0" borderId="33" xfId="0" applyNumberFormat="1" applyFont="1" applyBorder="1" applyAlignment="1">
      <alignment horizontal="right"/>
    </xf>
    <xf numFmtId="3" fontId="0" fillId="0" borderId="33" xfId="0" applyNumberFormat="1" applyBorder="1" applyAlignment="1">
      <alignment horizontal="center"/>
    </xf>
    <xf numFmtId="0" fontId="0" fillId="0" borderId="33" xfId="0" applyBorder="1" applyAlignment="1">
      <alignment horizontal="center"/>
    </xf>
    <xf numFmtId="49" fontId="0" fillId="0" borderId="0" xfId="0" applyNumberFormat="1" applyAlignment="1">
      <alignment horizontal="center"/>
    </xf>
    <xf numFmtId="49" fontId="2" fillId="0" borderId="0" xfId="0" applyNumberFormat="1" applyFont="1" applyAlignment="1">
      <alignment horizontal="left"/>
    </xf>
    <xf numFmtId="0" fontId="37" fillId="0" borderId="0" xfId="0" applyFont="1" applyAlignment="1">
      <alignment horizontal="center"/>
    </xf>
    <xf numFmtId="0" fontId="0" fillId="0" borderId="0" xfId="0" applyBorder="1"/>
    <xf numFmtId="3" fontId="0" fillId="0" borderId="37" xfId="0" applyNumberFormat="1" applyFont="1" applyBorder="1" applyAlignment="1">
      <alignment horizontal="center"/>
    </xf>
    <xf numFmtId="0" fontId="37" fillId="0" borderId="0" xfId="0" applyFont="1" applyAlignment="1">
      <alignment horizontal="right"/>
    </xf>
    <xf numFmtId="3" fontId="37" fillId="0" borderId="0" xfId="0" applyNumberFormat="1" applyFont="1" applyAlignment="1">
      <alignment horizontal="center"/>
    </xf>
    <xf numFmtId="9" fontId="0" fillId="0" borderId="0" xfId="64" applyFont="1" applyAlignment="1">
      <alignment horizontal="center"/>
    </xf>
    <xf numFmtId="3" fontId="0" fillId="0" borderId="28" xfId="0" applyNumberFormat="1" applyBorder="1"/>
    <xf numFmtId="164" fontId="39" fillId="0" borderId="0" xfId="64" applyNumberFormat="1" applyFont="1"/>
    <xf numFmtId="49" fontId="0" fillId="0" borderId="0" xfId="0" applyNumberFormat="1"/>
    <xf numFmtId="0" fontId="0" fillId="0" borderId="8" xfId="0" applyBorder="1"/>
    <xf numFmtId="0" fontId="38" fillId="0" borderId="7" xfId="0" applyFont="1" applyBorder="1" applyAlignment="1">
      <alignment horizontal="center"/>
    </xf>
    <xf numFmtId="0" fontId="3" fillId="0" borderId="38" xfId="0" applyFont="1" applyBorder="1" applyAlignment="1">
      <alignment horizontal="center"/>
    </xf>
    <xf numFmtId="3" fontId="3" fillId="0" borderId="38" xfId="0" applyNumberFormat="1" applyFont="1" applyBorder="1" applyAlignment="1">
      <alignment horizontal="center"/>
    </xf>
    <xf numFmtId="0" fontId="38" fillId="0" borderId="39" xfId="0" applyFont="1" applyBorder="1" applyAlignment="1">
      <alignment horizontal="center"/>
    </xf>
    <xf numFmtId="0" fontId="38" fillId="0" borderId="40" xfId="0" applyFont="1" applyBorder="1" applyAlignment="1">
      <alignment horizontal="center"/>
    </xf>
    <xf numFmtId="0" fontId="38" fillId="0" borderId="0" xfId="0" applyFont="1" applyBorder="1" applyAlignment="1">
      <alignment horizontal="center"/>
    </xf>
    <xf numFmtId="0" fontId="38" fillId="0" borderId="41" xfId="0" applyFont="1" applyBorder="1" applyAlignment="1">
      <alignment horizontal="center"/>
    </xf>
    <xf numFmtId="0" fontId="0" fillId="0" borderId="42" xfId="0" applyBorder="1" applyAlignment="1">
      <alignment horizontal="center"/>
    </xf>
    <xf numFmtId="0" fontId="0" fillId="0" borderId="29" xfId="0" applyBorder="1"/>
    <xf numFmtId="17" fontId="38" fillId="0" borderId="43" xfId="0" applyNumberFormat="1" applyFont="1" applyBorder="1" applyAlignment="1">
      <alignment horizontal="center"/>
    </xf>
    <xf numFmtId="0" fontId="38" fillId="0" borderId="42" xfId="0" applyFont="1" applyBorder="1" applyAlignment="1">
      <alignment horizontal="center"/>
    </xf>
    <xf numFmtId="0" fontId="38" fillId="0" borderId="29" xfId="0" applyFont="1" applyBorder="1"/>
    <xf numFmtId="0" fontId="38" fillId="0" borderId="29" xfId="0" applyFont="1" applyBorder="1" applyAlignment="1">
      <alignment horizontal="center"/>
    </xf>
    <xf numFmtId="3" fontId="38" fillId="0" borderId="29" xfId="0" applyNumberFormat="1" applyFont="1" applyBorder="1" applyAlignment="1">
      <alignment horizontal="center"/>
    </xf>
    <xf numFmtId="17" fontId="38" fillId="0" borderId="44" xfId="0" applyNumberFormat="1" applyFont="1" applyBorder="1" applyAlignment="1">
      <alignment horizontal="center"/>
    </xf>
    <xf numFmtId="17" fontId="38" fillId="0" borderId="0" xfId="0" applyNumberFormat="1" applyFont="1" applyBorder="1" applyAlignment="1">
      <alignment horizontal="center"/>
    </xf>
    <xf numFmtId="0" fontId="38" fillId="0" borderId="45" xfId="0" applyFont="1" applyBorder="1" applyAlignment="1">
      <alignment horizontal="center"/>
    </xf>
    <xf numFmtId="0" fontId="38" fillId="0" borderId="29" xfId="0" applyFont="1" applyBorder="1" applyAlignment="1">
      <alignment horizontal="left"/>
    </xf>
    <xf numFmtId="0" fontId="0" fillId="0" borderId="46" xfId="0" applyBorder="1" applyAlignment="1">
      <alignment horizontal="center"/>
    </xf>
    <xf numFmtId="0" fontId="0" fillId="0" borderId="47" xfId="0" applyBorder="1"/>
    <xf numFmtId="0" fontId="0" fillId="0" borderId="47" xfId="0" applyBorder="1" applyAlignment="1">
      <alignment horizontal="center"/>
    </xf>
    <xf numFmtId="3" fontId="0" fillId="0" borderId="47" xfId="0" applyNumberFormat="1" applyBorder="1" applyAlignment="1">
      <alignment horizontal="center"/>
    </xf>
    <xf numFmtId="17" fontId="38" fillId="0" borderId="48" xfId="0" applyNumberFormat="1" applyFont="1" applyBorder="1" applyAlignment="1">
      <alignment horizontal="center"/>
    </xf>
    <xf numFmtId="0" fontId="0" fillId="0" borderId="32" xfId="0" applyBorder="1" applyAlignment="1">
      <alignment horizontal="center"/>
    </xf>
    <xf numFmtId="0" fontId="0" fillId="0" borderId="39" xfId="0" applyBorder="1"/>
    <xf numFmtId="0" fontId="0" fillId="0" borderId="39" xfId="0" applyBorder="1" applyAlignment="1">
      <alignment horizontal="center"/>
    </xf>
    <xf numFmtId="3" fontId="0" fillId="0" borderId="39" xfId="0" applyNumberFormat="1" applyBorder="1" applyAlignment="1">
      <alignment horizontal="center"/>
    </xf>
    <xf numFmtId="17" fontId="38" fillId="0" borderId="41" xfId="0" applyNumberFormat="1" applyFont="1" applyBorder="1" applyAlignment="1">
      <alignment horizontal="center"/>
    </xf>
    <xf numFmtId="0" fontId="0" fillId="0" borderId="47" xfId="0" applyFill="1" applyBorder="1"/>
    <xf numFmtId="3" fontId="0" fillId="0" borderId="47" xfId="0" applyNumberFormat="1" applyFill="1" applyBorder="1" applyAlignment="1">
      <alignment horizontal="center"/>
    </xf>
    <xf numFmtId="3" fontId="0" fillId="0" borderId="29" xfId="0" applyNumberFormat="1" applyFill="1" applyBorder="1" applyAlignment="1">
      <alignment horizontal="center"/>
    </xf>
    <xf numFmtId="0" fontId="0" fillId="0" borderId="39" xfId="0" applyFill="1" applyBorder="1"/>
    <xf numFmtId="0" fontId="0" fillId="0" borderId="29" xfId="0" applyFill="1" applyBorder="1"/>
    <xf numFmtId="0" fontId="0" fillId="0" borderId="43" xfId="0" applyBorder="1"/>
    <xf numFmtId="0" fontId="0" fillId="0" borderId="29" xfId="0" applyFont="1" applyBorder="1"/>
    <xf numFmtId="0" fontId="0" fillId="0" borderId="29" xfId="0" applyFont="1" applyFill="1" applyBorder="1"/>
    <xf numFmtId="0" fontId="0" fillId="0" borderId="29" xfId="0" applyFont="1" applyBorder="1" applyAlignment="1">
      <alignment horizontal="center"/>
    </xf>
    <xf numFmtId="49" fontId="0" fillId="0" borderId="29" xfId="0" applyNumberFormat="1" applyFont="1" applyBorder="1"/>
    <xf numFmtId="3" fontId="43" fillId="0" borderId="29" xfId="0" applyNumberFormat="1" applyFont="1" applyBorder="1" applyAlignment="1">
      <alignment horizontal="center"/>
    </xf>
    <xf numFmtId="17" fontId="44" fillId="0" borderId="43" xfId="0" applyNumberFormat="1" applyFont="1" applyBorder="1" applyAlignment="1">
      <alignment horizontal="center"/>
    </xf>
    <xf numFmtId="0" fontId="0" fillId="0" borderId="0" xfId="0" applyAlignment="1">
      <alignment horizontal="left" vertical="center"/>
    </xf>
    <xf numFmtId="14" fontId="0" fillId="0" borderId="28" xfId="0" applyNumberFormat="1" applyBorder="1" applyAlignment="1">
      <alignment horizontal="center"/>
    </xf>
    <xf numFmtId="165" fontId="0" fillId="0" borderId="33" xfId="0" applyNumberFormat="1" applyBorder="1" applyAlignment="1">
      <alignment horizontal="center" vertical="center"/>
    </xf>
    <xf numFmtId="0" fontId="2" fillId="0" borderId="33" xfId="0" applyFont="1" applyBorder="1" applyAlignment="1">
      <alignment horizontal="center"/>
    </xf>
    <xf numFmtId="3" fontId="43" fillId="0" borderId="33" xfId="0" applyNumberFormat="1" applyFont="1" applyBorder="1" applyAlignment="1">
      <alignment horizontal="center" vertical="center"/>
    </xf>
    <xf numFmtId="49" fontId="0" fillId="0" borderId="0" xfId="0" applyNumberFormat="1" applyFont="1" applyBorder="1" applyAlignment="1">
      <alignment horizontal="right"/>
    </xf>
    <xf numFmtId="0" fontId="0" fillId="0" borderId="0" xfId="0" applyFont="1" applyBorder="1"/>
    <xf numFmtId="3" fontId="0" fillId="0" borderId="0" xfId="0" applyNumberFormat="1" applyBorder="1" applyAlignment="1">
      <alignment horizontal="center" vertical="center"/>
    </xf>
    <xf numFmtId="0" fontId="0" fillId="0" borderId="0" xfId="0" applyFont="1" applyBorder="1" applyAlignment="1">
      <alignment horizontal="center" vertical="center"/>
    </xf>
    <xf numFmtId="3" fontId="0" fillId="0" borderId="0" xfId="0" applyNumberFormat="1" applyFont="1" applyBorder="1" applyAlignment="1">
      <alignment horizontal="center" vertical="center"/>
    </xf>
    <xf numFmtId="17" fontId="3" fillId="0" borderId="0" xfId="0" applyNumberFormat="1" applyFont="1" applyBorder="1" applyAlignment="1">
      <alignment horizontal="center" vertical="center"/>
    </xf>
    <xf numFmtId="3" fontId="2" fillId="0" borderId="0" xfId="0" applyNumberFormat="1" applyFont="1"/>
    <xf numFmtId="14" fontId="3" fillId="2" borderId="22" xfId="0" applyNumberFormat="1" applyFont="1" applyFill="1" applyBorder="1" applyAlignment="1">
      <alignment horizontal="left" vertical="top" wrapText="1"/>
    </xf>
    <xf numFmtId="0" fontId="28" fillId="2" borderId="21" xfId="0" applyFont="1" applyFill="1" applyBorder="1" applyAlignment="1">
      <alignment horizontal="center" vertical="top" wrapText="1"/>
    </xf>
    <xf numFmtId="0" fontId="4" fillId="35" borderId="49" xfId="0" applyFont="1" applyFill="1" applyBorder="1" applyAlignment="1">
      <alignment horizontal="left" vertical="top" wrapText="1"/>
    </xf>
    <xf numFmtId="0" fontId="35" fillId="2" borderId="21" xfId="0" applyFont="1" applyFill="1" applyBorder="1" applyAlignment="1">
      <alignment vertical="top" wrapText="1"/>
    </xf>
    <xf numFmtId="0" fontId="26" fillId="2" borderId="21" xfId="0" applyFont="1" applyFill="1" applyBorder="1" applyAlignment="1">
      <alignment vertical="top" wrapText="1"/>
    </xf>
    <xf numFmtId="0" fontId="32" fillId="2" borderId="27" xfId="0" applyFont="1" applyFill="1" applyBorder="1" applyAlignment="1">
      <alignment vertical="top" wrapText="1"/>
    </xf>
    <xf numFmtId="0" fontId="25" fillId="2" borderId="27" xfId="0" applyFont="1" applyFill="1" applyBorder="1" applyAlignment="1">
      <alignment vertical="top" wrapText="1"/>
    </xf>
    <xf numFmtId="0" fontId="31" fillId="2" borderId="21" xfId="0" applyFont="1" applyFill="1" applyBorder="1" applyAlignment="1">
      <alignment vertical="top" wrapText="1"/>
    </xf>
    <xf numFmtId="0" fontId="32" fillId="2" borderId="50" xfId="0" applyFont="1" applyFill="1" applyBorder="1" applyAlignment="1">
      <alignment vertical="top" wrapText="1"/>
    </xf>
    <xf numFmtId="0" fontId="0" fillId="0" borderId="5" xfId="0" applyBorder="1"/>
    <xf numFmtId="0" fontId="0" fillId="0" borderId="7" xfId="0" applyBorder="1"/>
    <xf numFmtId="41" fontId="0" fillId="0" borderId="0" xfId="1" applyFont="1" applyBorder="1"/>
    <xf numFmtId="0" fontId="0" fillId="0" borderId="10" xfId="0" applyBorder="1"/>
    <xf numFmtId="0" fontId="30" fillId="35" borderId="1" xfId="0" applyFont="1" applyFill="1" applyBorder="1" applyAlignment="1">
      <alignment horizontal="left" vertical="top" wrapText="1"/>
    </xf>
    <xf numFmtId="0" fontId="30" fillId="35" borderId="3" xfId="0" applyFont="1" applyFill="1" applyBorder="1" applyAlignment="1">
      <alignment horizontal="center" vertical="top" wrapText="1"/>
    </xf>
    <xf numFmtId="0" fontId="2" fillId="0" borderId="0" xfId="0" applyFont="1" applyBorder="1" applyAlignment="1">
      <alignment horizontal="center" wrapText="1"/>
    </xf>
    <xf numFmtId="0" fontId="2" fillId="0" borderId="0" xfId="0" applyFont="1" applyBorder="1"/>
    <xf numFmtId="0" fontId="2" fillId="0" borderId="0" xfId="0" applyFont="1" applyFill="1" applyBorder="1" applyAlignment="1">
      <alignment horizontal="center" wrapText="1"/>
    </xf>
    <xf numFmtId="0" fontId="0" fillId="0" borderId="0" xfId="0" applyFill="1" applyBorder="1"/>
    <xf numFmtId="0" fontId="18" fillId="0" borderId="0" xfId="0" applyFont="1" applyFill="1" applyBorder="1"/>
    <xf numFmtId="0" fontId="0" fillId="35" borderId="0" xfId="0" applyFill="1" applyBorder="1"/>
    <xf numFmtId="0" fontId="46" fillId="35" borderId="0" xfId="0" applyFont="1" applyFill="1" applyBorder="1"/>
    <xf numFmtId="9" fontId="0" fillId="0" borderId="0" xfId="0" applyNumberFormat="1" applyAlignment="1">
      <alignment horizontal="center"/>
    </xf>
    <xf numFmtId="0" fontId="0" fillId="2" borderId="5" xfId="0" applyFill="1" applyBorder="1"/>
    <xf numFmtId="0" fontId="0" fillId="2" borderId="7" xfId="0" applyFill="1" applyBorder="1"/>
    <xf numFmtId="0" fontId="0" fillId="2" borderId="0" xfId="0" applyFill="1" applyBorder="1"/>
    <xf numFmtId="0" fontId="0" fillId="2" borderId="9" xfId="0" applyFill="1" applyBorder="1"/>
    <xf numFmtId="0" fontId="0" fillId="2" borderId="10" xfId="0" applyFill="1" applyBorder="1"/>
    <xf numFmtId="166" fontId="0" fillId="2" borderId="7" xfId="1" applyNumberFormat="1" applyFont="1" applyFill="1" applyBorder="1" applyAlignment="1">
      <alignment vertical="top" wrapText="1"/>
    </xf>
    <xf numFmtId="0" fontId="2" fillId="36" borderId="1" xfId="0" applyFont="1" applyFill="1" applyBorder="1"/>
    <xf numFmtId="0" fontId="2" fillId="36" borderId="2" xfId="0" applyFont="1" applyFill="1" applyBorder="1" applyAlignment="1">
      <alignment horizontal="center" wrapText="1"/>
    </xf>
    <xf numFmtId="14" fontId="3" fillId="2" borderId="4" xfId="0" applyNumberFormat="1" applyFont="1" applyFill="1" applyBorder="1" applyAlignment="1">
      <alignment horizontal="left"/>
    </xf>
    <xf numFmtId="41" fontId="0" fillId="35" borderId="0" xfId="1" applyFont="1" applyFill="1" applyBorder="1"/>
    <xf numFmtId="41" fontId="0" fillId="0" borderId="0" xfId="1" applyFont="1" applyFill="1" applyBorder="1"/>
    <xf numFmtId="41" fontId="2" fillId="0" borderId="24" xfId="1" applyFont="1" applyBorder="1"/>
    <xf numFmtId="167" fontId="0" fillId="2" borderId="7" xfId="1" applyNumberFormat="1" applyFont="1" applyFill="1" applyBorder="1" applyAlignment="1">
      <alignment vertical="top" wrapText="1"/>
    </xf>
    <xf numFmtId="41" fontId="0" fillId="0" borderId="0" xfId="0" applyNumberFormat="1"/>
    <xf numFmtId="0" fontId="30" fillId="35" borderId="2" xfId="0" applyFont="1" applyFill="1" applyBorder="1" applyAlignment="1">
      <alignment horizontal="center" vertical="top" wrapText="1"/>
    </xf>
    <xf numFmtId="41" fontId="2" fillId="34" borderId="8" xfId="1" applyFont="1" applyFill="1" applyBorder="1" applyAlignment="1">
      <alignment horizontal="center" vertical="top" wrapText="1"/>
    </xf>
    <xf numFmtId="164" fontId="0" fillId="34" borderId="8" xfId="1" applyNumberFormat="1" applyFont="1" applyFill="1" applyBorder="1" applyAlignment="1">
      <alignment horizontal="center" vertical="top" wrapText="1"/>
    </xf>
    <xf numFmtId="9" fontId="0" fillId="34" borderId="8" xfId="1" applyNumberFormat="1" applyFont="1" applyFill="1" applyBorder="1" applyAlignment="1">
      <alignment horizontal="center" vertical="top" wrapText="1"/>
    </xf>
    <xf numFmtId="10" fontId="32" fillId="34" borderId="24" xfId="1" applyNumberFormat="1" applyFont="1" applyFill="1" applyBorder="1" applyAlignment="1">
      <alignment horizontal="center" vertical="top" wrapText="1"/>
    </xf>
    <xf numFmtId="41" fontId="0" fillId="34" borderId="8" xfId="1" applyFont="1" applyFill="1" applyBorder="1" applyAlignment="1">
      <alignment horizontal="center" vertical="top" wrapText="1"/>
    </xf>
    <xf numFmtId="41" fontId="32" fillId="34" borderId="8" xfId="1" applyFont="1" applyFill="1" applyBorder="1" applyAlignment="1">
      <alignment horizontal="center" vertical="top" wrapText="1"/>
    </xf>
    <xf numFmtId="41" fontId="26" fillId="34" borderId="8" xfId="1" applyFont="1" applyFill="1" applyBorder="1" applyAlignment="1">
      <alignment horizontal="center" vertical="top" wrapText="1"/>
    </xf>
    <xf numFmtId="41" fontId="18" fillId="2" borderId="7" xfId="1" applyFont="1" applyFill="1" applyBorder="1" applyAlignment="1">
      <alignment vertical="top" wrapText="1"/>
    </xf>
    <xf numFmtId="41" fontId="18" fillId="2" borderId="8" xfId="1" applyFont="1" applyFill="1" applyBorder="1" applyAlignment="1">
      <alignment vertical="top" wrapText="1"/>
    </xf>
    <xf numFmtId="41" fontId="20" fillId="2" borderId="11" xfId="1" applyFont="1" applyFill="1" applyBorder="1"/>
    <xf numFmtId="0" fontId="0" fillId="2" borderId="6" xfId="0" applyFill="1" applyBorder="1"/>
    <xf numFmtId="0" fontId="0" fillId="2" borderId="8" xfId="0" applyFill="1" applyBorder="1"/>
    <xf numFmtId="0" fontId="2" fillId="36" borderId="3" xfId="0" applyFont="1" applyFill="1" applyBorder="1" applyAlignment="1">
      <alignment horizontal="center" wrapText="1"/>
    </xf>
    <xf numFmtId="41" fontId="35" fillId="35" borderId="1" xfId="1" applyFont="1" applyFill="1" applyBorder="1" applyAlignment="1">
      <alignment vertical="top" wrapText="1"/>
    </xf>
    <xf numFmtId="41" fontId="0" fillId="0" borderId="8" xfId="1" applyFont="1" applyBorder="1"/>
    <xf numFmtId="0" fontId="2" fillId="0" borderId="0" xfId="0" applyFont="1" applyAlignment="1">
      <alignment vertical="top" wrapText="1"/>
    </xf>
    <xf numFmtId="41" fontId="2" fillId="0" borderId="0" xfId="0" applyNumberFormat="1" applyFont="1" applyAlignment="1">
      <alignment vertical="top" wrapText="1"/>
    </xf>
    <xf numFmtId="3" fontId="26" fillId="0" borderId="0" xfId="0" applyNumberFormat="1" applyFont="1"/>
    <xf numFmtId="3" fontId="26" fillId="0" borderId="0" xfId="0" applyNumberFormat="1" applyFont="1" applyBorder="1"/>
    <xf numFmtId="0" fontId="2" fillId="0" borderId="24" xfId="0" applyFont="1" applyBorder="1"/>
    <xf numFmtId="3" fontId="32" fillId="0" borderId="24" xfId="0" applyNumberFormat="1" applyFont="1" applyBorder="1"/>
    <xf numFmtId="0" fontId="2" fillId="0" borderId="7" xfId="0" applyFont="1" applyBorder="1"/>
    <xf numFmtId="0" fontId="26" fillId="2" borderId="7" xfId="0" applyFont="1" applyFill="1" applyBorder="1" applyAlignment="1">
      <alignment vertical="top" wrapText="1"/>
    </xf>
    <xf numFmtId="0" fontId="46" fillId="35" borderId="7" xfId="0" applyFont="1" applyFill="1" applyBorder="1"/>
    <xf numFmtId="0" fontId="0" fillId="35" borderId="8" xfId="0" applyFill="1" applyBorder="1"/>
    <xf numFmtId="41" fontId="2" fillId="0" borderId="8" xfId="1" applyFont="1" applyBorder="1"/>
    <xf numFmtId="0" fontId="0" fillId="0" borderId="7" xfId="0" applyFill="1" applyBorder="1"/>
    <xf numFmtId="41" fontId="2" fillId="35" borderId="8" xfId="1" applyFont="1" applyFill="1" applyBorder="1"/>
    <xf numFmtId="41" fontId="45" fillId="0" borderId="26" xfId="1" applyFont="1" applyBorder="1"/>
    <xf numFmtId="0" fontId="0" fillId="0" borderId="9" xfId="0" applyFill="1" applyBorder="1"/>
    <xf numFmtId="41" fontId="0" fillId="0" borderId="11" xfId="1" applyFont="1" applyBorder="1"/>
    <xf numFmtId="0" fontId="4" fillId="2" borderId="4" xfId="0" applyFont="1"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0" borderId="51" xfId="0" applyBorder="1" applyAlignment="1">
      <alignment horizontal="center"/>
    </xf>
    <xf numFmtId="0" fontId="0" fillId="0" borderId="51" xfId="0" applyBorder="1"/>
    <xf numFmtId="0" fontId="0" fillId="38" borderId="51" xfId="0" applyFill="1" applyBorder="1" applyAlignment="1">
      <alignment horizontal="center"/>
    </xf>
    <xf numFmtId="0" fontId="0" fillId="34" borderId="51" xfId="0" applyFill="1" applyBorder="1" applyAlignment="1">
      <alignment horizontal="center"/>
    </xf>
    <xf numFmtId="0" fontId="2" fillId="0" borderId="52" xfId="0" applyFont="1" applyBorder="1"/>
    <xf numFmtId="0" fontId="0" fillId="0" borderId="53" xfId="0" applyBorder="1" applyAlignment="1">
      <alignment horizontal="center"/>
    </xf>
    <xf numFmtId="0" fontId="0" fillId="0" borderId="54" xfId="0" applyBorder="1"/>
    <xf numFmtId="0" fontId="38" fillId="0" borderId="55" xfId="0" applyFont="1" applyBorder="1"/>
    <xf numFmtId="0" fontId="0" fillId="0" borderId="56" xfId="0" applyBorder="1"/>
    <xf numFmtId="0" fontId="0" fillId="34" borderId="56" xfId="0" applyFill="1" applyBorder="1" applyAlignment="1">
      <alignment horizontal="center"/>
    </xf>
    <xf numFmtId="0" fontId="38" fillId="0" borderId="57" xfId="0" applyFont="1" applyBorder="1"/>
    <xf numFmtId="0" fontId="0" fillId="0" borderId="58" xfId="0" applyBorder="1" applyAlignment="1">
      <alignment horizontal="center"/>
    </xf>
    <xf numFmtId="0" fontId="0" fillId="0" borderId="59" xfId="0" applyBorder="1"/>
    <xf numFmtId="0" fontId="0" fillId="37" borderId="51" xfId="0" applyFill="1" applyBorder="1" applyAlignment="1">
      <alignment horizontal="center"/>
    </xf>
    <xf numFmtId="0" fontId="0" fillId="37" borderId="56" xfId="0" applyFill="1" applyBorder="1" applyAlignment="1">
      <alignment horizontal="center"/>
    </xf>
    <xf numFmtId="0" fontId="37" fillId="38" borderId="53" xfId="0" applyFont="1" applyFill="1" applyBorder="1" applyAlignment="1">
      <alignment horizontal="center"/>
    </xf>
    <xf numFmtId="0" fontId="0" fillId="34" borderId="58" xfId="0" applyFill="1" applyBorder="1" applyAlignment="1">
      <alignment horizontal="center"/>
    </xf>
    <xf numFmtId="0" fontId="0" fillId="0" borderId="58" xfId="0" applyBorder="1"/>
    <xf numFmtId="0" fontId="18" fillId="38" borderId="51" xfId="0" applyFont="1" applyFill="1" applyBorder="1" applyAlignment="1">
      <alignment horizontal="center"/>
    </xf>
    <xf numFmtId="0" fontId="2" fillId="0" borderId="55" xfId="0" applyFont="1" applyBorder="1"/>
    <xf numFmtId="0" fontId="47" fillId="0" borderId="55" xfId="0" applyFont="1" applyBorder="1"/>
    <xf numFmtId="0" fontId="0" fillId="0" borderId="5" xfId="0" applyBorder="1" applyAlignment="1">
      <alignment horizontal="center"/>
    </xf>
    <xf numFmtId="0" fontId="0" fillId="0" borderId="10" xfId="0" applyBorder="1" applyAlignment="1">
      <alignment horizontal="center"/>
    </xf>
    <xf numFmtId="0" fontId="0" fillId="34" borderId="51" xfId="0" applyFill="1" applyBorder="1"/>
    <xf numFmtId="0" fontId="0" fillId="34" borderId="58" xfId="0" applyFill="1" applyBorder="1"/>
    <xf numFmtId="41" fontId="18" fillId="0" borderId="0" xfId="1" applyFont="1" applyBorder="1"/>
    <xf numFmtId="0" fontId="49" fillId="0" borderId="0" xfId="0" applyFont="1"/>
    <xf numFmtId="41" fontId="0" fillId="0" borderId="10" xfId="1" applyNumberFormat="1" applyFont="1" applyBorder="1"/>
    <xf numFmtId="0" fontId="4" fillId="2" borderId="7" xfId="0" applyFont="1" applyFill="1" applyBorder="1" applyAlignment="1">
      <alignment horizontal="center"/>
    </xf>
    <xf numFmtId="0" fontId="4" fillId="2" borderId="0" xfId="0" applyFont="1" applyFill="1" applyBorder="1" applyAlignment="1">
      <alignment horizontal="center"/>
    </xf>
    <xf numFmtId="0" fontId="4" fillId="2" borderId="8" xfId="0" applyFont="1" applyFill="1" applyBorder="1" applyAlignment="1">
      <alignment horizontal="center"/>
    </xf>
    <xf numFmtId="0" fontId="28" fillId="2" borderId="9" xfId="0" applyFont="1" applyFill="1" applyBorder="1" applyAlignment="1">
      <alignment horizontal="center" vertical="top" wrapText="1"/>
    </xf>
    <xf numFmtId="0" fontId="28" fillId="2" borderId="10" xfId="0" applyFont="1" applyFill="1" applyBorder="1" applyAlignment="1">
      <alignment horizontal="center" vertical="top" wrapText="1"/>
    </xf>
    <xf numFmtId="0" fontId="28" fillId="2" borderId="11" xfId="0" applyFont="1" applyFill="1" applyBorder="1" applyAlignment="1">
      <alignment horizontal="center" vertical="top" wrapText="1"/>
    </xf>
    <xf numFmtId="0" fontId="30" fillId="35" borderId="2" xfId="0" applyFont="1" applyFill="1" applyBorder="1" applyAlignment="1">
      <alignment horizontal="center" vertical="top" wrapText="1"/>
    </xf>
    <xf numFmtId="0" fontId="37" fillId="37" borderId="53" xfId="0" applyFont="1" applyFill="1" applyBorder="1" applyAlignment="1">
      <alignment horizontal="center"/>
    </xf>
    <xf numFmtId="0" fontId="37" fillId="37" borderId="54" xfId="0" applyFont="1" applyFill="1" applyBorder="1" applyAlignment="1">
      <alignment horizontal="center"/>
    </xf>
    <xf numFmtId="0" fontId="37" fillId="37" borderId="52" xfId="0" applyFont="1" applyFill="1" applyBorder="1" applyAlignment="1">
      <alignment horizontal="left" vertical="center"/>
    </xf>
    <xf numFmtId="0" fontId="37" fillId="37" borderId="55" xfId="0" applyFont="1" applyFill="1" applyBorder="1" applyAlignment="1">
      <alignment horizontal="left" vertical="center"/>
    </xf>
    <xf numFmtId="0" fontId="40" fillId="0" borderId="0" xfId="0" applyFont="1" applyAlignment="1">
      <alignment horizontal="center" vertical="center"/>
    </xf>
    <xf numFmtId="0" fontId="4" fillId="0" borderId="0" xfId="0" applyFont="1" applyAlignment="1">
      <alignment horizontal="center" vertical="center" wrapText="1"/>
    </xf>
    <xf numFmtId="0" fontId="2" fillId="0" borderId="34" xfId="0" applyFont="1" applyBorder="1" applyAlignment="1">
      <alignment horizontal="right"/>
    </xf>
    <xf numFmtId="0" fontId="2" fillId="0" borderId="35" xfId="0" applyFont="1" applyBorder="1" applyAlignment="1">
      <alignment horizontal="right"/>
    </xf>
    <xf numFmtId="0" fontId="2" fillId="0" borderId="36" xfId="0" applyFont="1" applyBorder="1" applyAlignment="1">
      <alignment horizontal="right"/>
    </xf>
    <xf numFmtId="0" fontId="40" fillId="0" borderId="0" xfId="0" applyFont="1" applyAlignment="1">
      <alignment horizontal="center" vertical="center" wrapText="1"/>
    </xf>
  </cellXfs>
  <cellStyles count="65">
    <cellStyle name="20% - Accent1" xfId="20" builtinId="30" customBuiltin="1"/>
    <cellStyle name="20% - Accent1 2" xfId="46"/>
    <cellStyle name="20% - Accent2" xfId="24" builtinId="34" customBuiltin="1"/>
    <cellStyle name="20% - Accent2 2" xfId="48"/>
    <cellStyle name="20% - Accent3" xfId="28" builtinId="38" customBuiltin="1"/>
    <cellStyle name="20% - Accent3 2" xfId="50"/>
    <cellStyle name="20% - Accent4" xfId="32" builtinId="42" customBuiltin="1"/>
    <cellStyle name="20% - Accent4 2" xfId="52"/>
    <cellStyle name="20% - Accent5" xfId="36" builtinId="46" customBuiltin="1"/>
    <cellStyle name="20% - Accent5 2" xfId="54"/>
    <cellStyle name="20% - Accent6" xfId="40" builtinId="50" customBuiltin="1"/>
    <cellStyle name="20% - Accent6 2" xfId="56"/>
    <cellStyle name="40% - Accent1" xfId="21" builtinId="31" customBuiltin="1"/>
    <cellStyle name="40% - Accent1 2" xfId="47"/>
    <cellStyle name="40% - Accent2" xfId="25" builtinId="35" customBuiltin="1"/>
    <cellStyle name="40% - Accent2 2" xfId="49"/>
    <cellStyle name="40% - Accent3" xfId="29" builtinId="39" customBuiltin="1"/>
    <cellStyle name="40% - Accent3 2" xfId="51"/>
    <cellStyle name="40% - Accent4" xfId="33" builtinId="43" customBuiltin="1"/>
    <cellStyle name="40% - Accent4 2" xfId="53"/>
    <cellStyle name="40% - Accent5" xfId="37" builtinId="47" customBuiltin="1"/>
    <cellStyle name="40% - Accent5 2" xfId="55"/>
    <cellStyle name="40% - Accent6" xfId="41" builtinId="51" customBuiltin="1"/>
    <cellStyle name="40% - Accent6 2" xfId="57"/>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0]" xfId="1" builtinId="6"/>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cellStyle name="Normal 2 2" xfId="59"/>
    <cellStyle name="Normal 3" xfId="44"/>
    <cellStyle name="Normal 3 2" xfId="60"/>
    <cellStyle name="Normal 4" xfId="58"/>
    <cellStyle name="Note" xfId="16" builtinId="10" customBuiltin="1"/>
    <cellStyle name="Note 2" xfId="45"/>
    <cellStyle name="Output" xfId="11" builtinId="21" customBuiltin="1"/>
    <cellStyle name="Percent" xfId="64" builtinId="5"/>
    <cellStyle name="rubr1" xfId="61"/>
    <cellStyle name="rubr2" xfId="62"/>
    <cellStyle name="Title" xfId="2" builtinId="15" customBuiltin="1"/>
    <cellStyle name="Total" xfId="18" builtinId="25" customBuiltin="1"/>
    <cellStyle name="Venjuleg 2" xfId="63"/>
    <cellStyle name="Warning Text" xfId="15" builtinId="11" customBuiltin="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J36"/>
  <sheetViews>
    <sheetView topLeftCell="A3" zoomScale="90" zoomScaleNormal="90" workbookViewId="0">
      <pane ySplit="3" topLeftCell="A21" activePane="bottomLeft" state="frozen"/>
      <selection activeCell="A3" sqref="A3"/>
      <selection pane="bottomLeft" activeCell="B26" sqref="B26"/>
    </sheetView>
  </sheetViews>
  <sheetFormatPr defaultRowHeight="15" x14ac:dyDescent="0.25"/>
  <cols>
    <col min="1" max="1" width="35" customWidth="1"/>
    <col min="2" max="2" width="10.42578125" customWidth="1"/>
    <col min="3" max="5" width="9" bestFit="1" customWidth="1"/>
    <col min="6" max="7" width="14.5703125" customWidth="1"/>
  </cols>
  <sheetData>
    <row r="1" spans="1:10" x14ac:dyDescent="0.25">
      <c r="A1" s="166">
        <v>42695</v>
      </c>
      <c r="B1" s="158"/>
      <c r="C1" s="158"/>
      <c r="D1" s="158"/>
      <c r="E1" s="158"/>
      <c r="F1" s="183"/>
    </row>
    <row r="2" spans="1:10" x14ac:dyDescent="0.25">
      <c r="A2" s="159"/>
      <c r="B2" s="160"/>
      <c r="C2" s="160"/>
      <c r="D2" s="160"/>
      <c r="E2" s="160"/>
      <c r="F2" s="184"/>
    </row>
    <row r="3" spans="1:10" ht="18.75" x14ac:dyDescent="0.3">
      <c r="A3" s="235" t="s">
        <v>311</v>
      </c>
      <c r="B3" s="236"/>
      <c r="C3" s="236"/>
      <c r="D3" s="236"/>
      <c r="E3" s="236"/>
      <c r="F3" s="237"/>
    </row>
    <row r="4" spans="1:10" ht="15.75" thickBot="1" x14ac:dyDescent="0.3">
      <c r="A4" s="161"/>
      <c r="B4" s="162"/>
      <c r="C4" s="162"/>
      <c r="D4" s="162"/>
      <c r="E4" s="162"/>
      <c r="F4" s="182">
        <v>1000000</v>
      </c>
    </row>
    <row r="5" spans="1:10" ht="30.75" thickBot="1" x14ac:dyDescent="0.3">
      <c r="A5" s="164" t="s">
        <v>213</v>
      </c>
      <c r="B5" s="165" t="s">
        <v>204</v>
      </c>
      <c r="C5" s="165" t="s">
        <v>205</v>
      </c>
      <c r="D5" s="165" t="s">
        <v>206</v>
      </c>
      <c r="E5" s="165" t="s">
        <v>207</v>
      </c>
      <c r="F5" s="185" t="s">
        <v>208</v>
      </c>
    </row>
    <row r="6" spans="1:10" ht="18.75" x14ac:dyDescent="0.3">
      <c r="A6" s="204"/>
      <c r="B6" s="205"/>
      <c r="C6" s="205"/>
      <c r="D6" s="205"/>
      <c r="E6" s="205"/>
      <c r="F6" s="206"/>
    </row>
    <row r="7" spans="1:10" x14ac:dyDescent="0.25">
      <c r="A7" s="196" t="s">
        <v>10</v>
      </c>
      <c r="B7" s="155"/>
      <c r="C7" s="155"/>
      <c r="D7" s="155"/>
      <c r="E7" s="155"/>
      <c r="F7" s="197"/>
    </row>
    <row r="8" spans="1:10" x14ac:dyDescent="0.25">
      <c r="A8" s="145" t="s">
        <v>196</v>
      </c>
      <c r="B8" s="146">
        <f>(' Samant. framkv-fjárf 2017-2020'!B18+' Samant. framkv-fjárf 2017-2020'!C18)/$F$4</f>
        <v>55</v>
      </c>
      <c r="C8" s="146">
        <f>(' Samant. framkv-fjárf 2017-2020'!D18+' Samant. framkv-fjárf 2017-2020'!E18)/'Tillaga S+U'!$F$4</f>
        <v>0</v>
      </c>
      <c r="D8" s="146">
        <f>(' Samant. framkv-fjárf 2017-2020'!F18+' Samant. framkv-fjárf 2017-2020'!G18)/'Tillaga S+U'!$F$4</f>
        <v>71.5</v>
      </c>
      <c r="E8" s="146">
        <f>(' Samant. framkv-fjárf 2017-2020'!H18+' Samant. framkv-fjárf 2017-2020'!I18)/'Tillaga S+U'!$F$4</f>
        <v>0</v>
      </c>
      <c r="F8" s="198">
        <f>SUM(B8:E8)</f>
        <v>126.5</v>
      </c>
      <c r="I8" s="171"/>
      <c r="J8" s="171"/>
    </row>
    <row r="9" spans="1:10" x14ac:dyDescent="0.25">
      <c r="A9" s="145" t="s">
        <v>277</v>
      </c>
      <c r="B9" s="146">
        <f>(' Samant. framkv-fjárf 2017-2020'!B20+' Samant. framkv-fjárf 2017-2020'!C20)/'Tillaga S+U'!$F$4</f>
        <v>70</v>
      </c>
      <c r="C9" s="146">
        <f>' Samant. framkv-fjárf 2017-2020'!D20/'Tillaga S+U'!$F$4</f>
        <v>380</v>
      </c>
      <c r="D9" s="146">
        <f>' Samant. framkv-fjárf 2017-2020'!F20/'Tillaga S+U'!F4</f>
        <v>0</v>
      </c>
      <c r="E9" s="146">
        <f>' Samant. framkv-fjárf 2017-2020'!H20/'Tillaga S+U'!$F$4</f>
        <v>0</v>
      </c>
      <c r="F9" s="198">
        <f>SUM(B9:E9)</f>
        <v>450</v>
      </c>
      <c r="I9" s="171"/>
      <c r="J9" s="171"/>
    </row>
    <row r="10" spans="1:10" x14ac:dyDescent="0.25">
      <c r="A10" s="145" t="s">
        <v>198</v>
      </c>
      <c r="B10" s="146">
        <f>' Samant. framkv-fjárf 2017-2020'!B17/'Tillaga S+U'!F4</f>
        <v>0</v>
      </c>
      <c r="C10" s="146">
        <f>' Samant. framkv-fjárf 2017-2020'!D17/'Tillaga S+U'!$F$4</f>
        <v>20</v>
      </c>
      <c r="D10" s="146">
        <f>' Samant. framkv-fjárf 2017-2020'!F17/'Tillaga S+U'!$F$4</f>
        <v>20</v>
      </c>
      <c r="E10" s="146">
        <f>' Samant. framkv-fjárf 2017-2020'!H17/'Tillaga S+U'!$F$4</f>
        <v>20</v>
      </c>
      <c r="F10" s="198">
        <f t="shared" ref="F10:F25" si="0">SUM(B10:E10)</f>
        <v>60</v>
      </c>
      <c r="I10" s="171"/>
      <c r="J10" s="171"/>
    </row>
    <row r="11" spans="1:10" x14ac:dyDescent="0.25">
      <c r="A11" s="145" t="s">
        <v>30</v>
      </c>
      <c r="B11" s="146">
        <f>' Samant. framkv-fjárf 2017-2020'!B19/'Tillaga S+U'!$F$4</f>
        <v>0</v>
      </c>
      <c r="C11" s="146">
        <f>' Samant. framkv-fjárf 2017-2020'!D19/'Tillaga S+U'!$F$4</f>
        <v>0</v>
      </c>
      <c r="D11" s="146">
        <f>' Samant. framkv-fjárf 2017-2020'!F19/'Tillaga S+U'!$F$4</f>
        <v>50</v>
      </c>
      <c r="E11" s="146">
        <f>' Samant. framkv-fjárf 2017-2020'!H19/'Tillaga S+U'!$F$4</f>
        <v>0</v>
      </c>
      <c r="F11" s="198">
        <f>SUM(B11:E11)</f>
        <v>50</v>
      </c>
      <c r="I11" s="171"/>
      <c r="J11" s="171"/>
    </row>
    <row r="12" spans="1:10" x14ac:dyDescent="0.25">
      <c r="A12" s="145" t="s">
        <v>199</v>
      </c>
      <c r="B12" s="146">
        <f>(' Samant. framkv-fjárf 2017-2020'!B21+' Samant. framkv-fjárf 2017-2020'!C21)/'Tillaga S+U'!$F$4</f>
        <v>12.5</v>
      </c>
      <c r="C12" s="146">
        <f>(' Samant. framkv-fjárf 2017-2020'!D21+' Samant. framkv-fjárf 2017-2020'!E21)/'Tillaga S+U'!$F$4</f>
        <v>31.25</v>
      </c>
      <c r="D12" s="146">
        <f>(' Samant. framkv-fjárf 2017-2020'!F21+' Samant. framkv-fjárf 2017-2020'!G21)/'Tillaga S+U'!$F$4</f>
        <v>18.75</v>
      </c>
      <c r="E12" s="146">
        <f>(' Samant. framkv-fjárf 2017-2020'!H21+' Samant. framkv-fjárf 2017-2020'!I21)/'Tillaga S+U'!$F$4</f>
        <v>0</v>
      </c>
      <c r="F12" s="198">
        <f t="shared" si="0"/>
        <v>62.5</v>
      </c>
      <c r="I12" s="171"/>
      <c r="J12" s="171"/>
    </row>
    <row r="13" spans="1:10" x14ac:dyDescent="0.25">
      <c r="A13" s="145" t="s">
        <v>47</v>
      </c>
      <c r="B13" s="232">
        <f>' Samant. framkv-fjárf 2017-2020'!B24/$F$4</f>
        <v>10</v>
      </c>
      <c r="C13" s="232">
        <f>' Samant. framkv-fjárf 2017-2020'!D24/'Tillaga S+U'!$F$4</f>
        <v>38</v>
      </c>
      <c r="D13" s="146">
        <f>' Samant. framkv-fjárf 2017-2020'!F24/'Tillaga S+U'!$F$4</f>
        <v>0</v>
      </c>
      <c r="E13" s="146">
        <f>' Samant. framkv-fjárf 2017-2020'!H24/'Tillaga S+U'!F4</f>
        <v>0</v>
      </c>
      <c r="F13" s="198">
        <f t="shared" si="0"/>
        <v>48</v>
      </c>
      <c r="G13" s="233" t="s">
        <v>312</v>
      </c>
      <c r="I13" s="171"/>
      <c r="J13" s="171"/>
    </row>
    <row r="14" spans="1:10" x14ac:dyDescent="0.25">
      <c r="A14" s="199" t="s">
        <v>218</v>
      </c>
      <c r="B14" s="146">
        <f>' Samant. framkv-fjárf 2017-2020'!B23/'Tillaga S+U'!$F$4</f>
        <v>8</v>
      </c>
      <c r="C14" s="146">
        <f>' Samant. framkv-fjárf 2017-2020'!D23/'Tillaga S+U'!F4</f>
        <v>12</v>
      </c>
      <c r="D14" s="146">
        <f>' Samant. framkv-fjárf 2017-2020'!F23/'Tillaga S+U'!F4</f>
        <v>0</v>
      </c>
      <c r="E14" s="146">
        <f>' Samant. framkv-fjárf 2017-2020'!H23/'Tillaga S+U'!F4</f>
        <v>0</v>
      </c>
      <c r="F14" s="198">
        <f t="shared" si="0"/>
        <v>20</v>
      </c>
      <c r="I14" s="171"/>
      <c r="J14" s="171"/>
    </row>
    <row r="15" spans="1:10" x14ac:dyDescent="0.25">
      <c r="A15" s="199" t="s">
        <v>64</v>
      </c>
      <c r="B15" s="146">
        <f>' Samant. framkv-fjárf 2017-2020'!C25/'Tillaga S+U'!$F$4</f>
        <v>10</v>
      </c>
      <c r="C15" s="146">
        <f>' Samant. framkv-fjárf 2017-2020'!E25/'Tillaga S+U'!$F$4</f>
        <v>10</v>
      </c>
      <c r="D15" s="146">
        <f>' Samant. framkv-fjárf 2017-2020'!G25/'Tillaga S+U'!$F$4</f>
        <v>10</v>
      </c>
      <c r="E15" s="146">
        <f>' Samant. framkv-fjárf 2017-2020'!I25/'Tillaga S+U'!$F$4</f>
        <v>10</v>
      </c>
      <c r="F15" s="198">
        <f t="shared" si="0"/>
        <v>40</v>
      </c>
      <c r="I15" s="171"/>
      <c r="J15" s="171"/>
    </row>
    <row r="16" spans="1:10" x14ac:dyDescent="0.25">
      <c r="A16" s="196" t="s">
        <v>38</v>
      </c>
      <c r="B16" s="167"/>
      <c r="C16" s="167"/>
      <c r="D16" s="167"/>
      <c r="E16" s="167"/>
      <c r="F16" s="200"/>
      <c r="I16" s="171"/>
      <c r="J16" s="171"/>
    </row>
    <row r="17" spans="1:10" x14ac:dyDescent="0.25">
      <c r="A17" s="145" t="s">
        <v>33</v>
      </c>
      <c r="B17" s="146">
        <f>(' Samant. framkv-fjárf 2017-2020'!B29+' Samant. framkv-fjárf 2017-2020'!C29)/'Tillaga S+U'!$F$4</f>
        <v>189.75</v>
      </c>
      <c r="C17" s="146">
        <f>(' Samant. framkv-fjárf 2017-2020'!D29+' Samant. framkv-fjárf 2017-2020'!E29)/'Tillaga S+U'!$F$4</f>
        <v>126.5</v>
      </c>
      <c r="D17" s="146">
        <f>(' Samant. framkv-fjárf 2017-2020'!F29+' Samant. framkv-fjárf 2017-2020'!G29)/'Tillaga S+U'!$F$4</f>
        <v>86.25</v>
      </c>
      <c r="E17" s="146">
        <f>(' Samant. framkv-fjárf 2017-2020'!H29+' Samant. framkv-fjárf 2017-2020'!I29)/'Tillaga S+U'!$F$4</f>
        <v>57.5</v>
      </c>
      <c r="F17" s="198">
        <f t="shared" si="0"/>
        <v>460</v>
      </c>
      <c r="I17" s="171"/>
      <c r="J17" s="171"/>
    </row>
    <row r="18" spans="1:10" x14ac:dyDescent="0.25">
      <c r="A18" s="145" t="s">
        <v>40</v>
      </c>
      <c r="B18" s="146">
        <f>' Samant. framkv-fjárf 2017-2020'!B31/'Tillaga S+U'!$F$4</f>
        <v>9</v>
      </c>
      <c r="C18" s="146">
        <f>' Samant. framkv-fjárf 2017-2020'!D31/'Tillaga S+U'!$F$4</f>
        <v>0</v>
      </c>
      <c r="D18" s="146">
        <f>' Samant. framkv-fjárf 2017-2020'!F31/'Tillaga S+U'!$F$4</f>
        <v>0</v>
      </c>
      <c r="E18" s="146">
        <f>' Samant. framkv-fjárf 2017-2020'!H31/'Tillaga S+U'!$F$4</f>
        <v>0</v>
      </c>
      <c r="F18" s="198">
        <f t="shared" si="0"/>
        <v>9</v>
      </c>
      <c r="I18" s="171"/>
      <c r="J18" s="171"/>
    </row>
    <row r="19" spans="1:10" x14ac:dyDescent="0.25">
      <c r="A19" s="199" t="s">
        <v>39</v>
      </c>
      <c r="B19" s="146">
        <f>(' Samant. framkv-fjárf 2017-2020'!B30+' Samant. framkv-fjárf 2017-2020'!C30)/'Tillaga S+U'!$F$4</f>
        <v>20</v>
      </c>
      <c r="C19" s="146">
        <f>(' Samant. framkv-fjárf 2017-2020'!D30+' Samant. framkv-fjárf 2017-2020'!E30)/'Tillaga S+U'!$F$4</f>
        <v>0</v>
      </c>
      <c r="D19" s="146">
        <f>(' Samant. framkv-fjárf 2017-2020'!F30+' Samant. framkv-fjárf 2017-2020'!G30)/'Tillaga S+U'!$F$4</f>
        <v>0</v>
      </c>
      <c r="E19" s="146">
        <f>(' Samant. framkv-fjárf 2017-2020'!H30+' Samant. framkv-fjárf 2017-2020'!I30)/'Tillaga S+U'!$F$4</f>
        <v>0</v>
      </c>
      <c r="F19" s="198">
        <f t="shared" si="0"/>
        <v>20</v>
      </c>
      <c r="I19" s="171"/>
      <c r="J19" s="171"/>
    </row>
    <row r="20" spans="1:10" x14ac:dyDescent="0.25">
      <c r="A20" s="196" t="s">
        <v>211</v>
      </c>
      <c r="B20" s="167"/>
      <c r="C20" s="167"/>
      <c r="D20" s="167"/>
      <c r="E20" s="167"/>
      <c r="F20" s="200"/>
      <c r="I20" s="171"/>
      <c r="J20" s="171"/>
    </row>
    <row r="21" spans="1:10" x14ac:dyDescent="0.25">
      <c r="A21" s="145" t="s">
        <v>211</v>
      </c>
      <c r="B21" s="146">
        <f>(' Samant. framkv-fjárf 2017-2020'!B14+' Samant. framkv-fjárf 2017-2020'!C14)/'Tillaga S+U'!$F$4</f>
        <v>190.4</v>
      </c>
      <c r="C21" s="146">
        <f>(' Samant. framkv-fjárf 2017-2020'!D14+' Samant. framkv-fjárf 2017-2020'!E14)/'Tillaga S+U'!$F$4</f>
        <v>140.9</v>
      </c>
      <c r="D21" s="146">
        <f>(' Samant. framkv-fjárf 2017-2020'!F14+' Samant. framkv-fjárf 2017-2020'!G14)/'Tillaga S+U'!$F$4</f>
        <v>162.9</v>
      </c>
      <c r="E21" s="146">
        <f>(' Samant. framkv-fjárf 2017-2020'!H14+' Samant. framkv-fjárf 2017-2020'!I14)/'Tillaga S+U'!$F$4</f>
        <v>120</v>
      </c>
      <c r="F21" s="198">
        <f t="shared" si="0"/>
        <v>614.20000000000005</v>
      </c>
      <c r="I21" s="171"/>
      <c r="J21" s="171"/>
    </row>
    <row r="22" spans="1:10" x14ac:dyDescent="0.25">
      <c r="A22" s="196" t="s">
        <v>202</v>
      </c>
      <c r="B22" s="167"/>
      <c r="C22" s="167"/>
      <c r="D22" s="167"/>
      <c r="E22" s="167"/>
      <c r="F22" s="200">
        <f t="shared" si="0"/>
        <v>0</v>
      </c>
      <c r="I22" s="171"/>
      <c r="J22" s="171"/>
    </row>
    <row r="23" spans="1:10" x14ac:dyDescent="0.25">
      <c r="A23" s="145" t="s">
        <v>203</v>
      </c>
      <c r="B23" s="146">
        <f>(' Samant. framkv-fjárf 2017-2020'!B38+' Samant. framkv-fjárf 2017-2020'!C38)/'Tillaga S+U'!$F$4</f>
        <v>66</v>
      </c>
      <c r="C23" s="146">
        <f>(' Samant. framkv-fjárf 2017-2020'!D38+' Samant. framkv-fjárf 2017-2020'!E38)/'Tillaga S+U'!$F$4</f>
        <v>0</v>
      </c>
      <c r="D23" s="146">
        <f>(' Samant. framkv-fjárf 2017-2020'!F38+' Samant. framkv-fjárf 2017-2020'!G38)/'Tillaga S+U'!F4</f>
        <v>0</v>
      </c>
      <c r="E23" s="146">
        <f>(' Samant. framkv-fjárf 2017-2020'!H38+' Samant. framkv-fjárf 2017-2020'!I38)/'Tillaga S+U'!$F$4</f>
        <v>0</v>
      </c>
      <c r="F23" s="198">
        <f t="shared" si="0"/>
        <v>66</v>
      </c>
      <c r="I23" s="171"/>
      <c r="J23" s="171"/>
    </row>
    <row r="24" spans="1:10" x14ac:dyDescent="0.25">
      <c r="A24" s="199" t="s">
        <v>202</v>
      </c>
      <c r="B24" s="146">
        <f>(' Samant. framkv-fjárf 2017-2020'!B37+' Samant. framkv-fjárf 2017-2020'!C37+' Samant. framkv-fjárf 2017-2020'!B39+' Samant. framkv-fjárf 2017-2020'!C39+' Samant. framkv-fjárf 2017-2020'!B40+' Samant. framkv-fjárf 2017-2020'!C40+' Samant. framkv-fjárf 2017-2020'!B41+' Samant. framkv-fjárf 2017-2020'!C41+' Samant. framkv-fjárf 2017-2020'!B42+' Samant. framkv-fjárf 2017-2020'!C42)/'Tillaga S+U'!$F$4</f>
        <v>21</v>
      </c>
      <c r="C24" s="146">
        <f>(' Samant. framkv-fjárf 2017-2020'!E37+' Samant. framkv-fjárf 2017-2020'!E39+' Samant. framkv-fjárf 2017-2020'!D41+' Samant. framkv-fjárf 2017-2020'!E41+' Samant. framkv-fjárf 2017-2020'!D42+' Samant. framkv-fjárf 2017-2020'!E42)/'Tillaga S+U'!$F$4</f>
        <v>63</v>
      </c>
      <c r="D24" s="146">
        <f>(' Samant. framkv-fjárf 2017-2020'!F37+' Samant. framkv-fjárf 2017-2020'!G37+' Samant. framkv-fjárf 2017-2020'!F39+' Samant. framkv-fjárf 2017-2020'!G39+' Samant. framkv-fjárf 2017-2020'!F41+' Samant. framkv-fjárf 2017-2020'!G41+' Samant. framkv-fjárf 2017-2020'!F42+' Samant. framkv-fjárf 2017-2020'!G42)/'Tillaga S+U'!$F$4</f>
        <v>35</v>
      </c>
      <c r="E24" s="168">
        <f>(' Samant. framkv-fjárf 2017-2020'!H37+' Samant. framkv-fjárf 2017-2020'!I37+' Samant. framkv-fjárf 2017-2020'!H39+' Samant. framkv-fjárf 2017-2020'!I39+' Samant. framkv-fjárf 2017-2020'!H40+' Samant. framkv-fjárf 2017-2020'!I40+' Samant. framkv-fjárf 2017-2020'!H41+' Samant. framkv-fjárf 2017-2020'!I41+' Samant. framkv-fjárf 2017-2020'!H42+' Samant. framkv-fjárf 2017-2020'!I42)/'Tillaga S+U'!$F$4</f>
        <v>35</v>
      </c>
      <c r="F24" s="198">
        <f t="shared" si="0"/>
        <v>154</v>
      </c>
      <c r="I24" s="171"/>
      <c r="J24" s="171"/>
    </row>
    <row r="25" spans="1:10" x14ac:dyDescent="0.25">
      <c r="A25" s="145" t="s">
        <v>16</v>
      </c>
      <c r="B25" s="146">
        <f>(' Samant. framkv-fjárf 2017-2020'!B50+' Samant. framkv-fjárf 2017-2020'!C50)/'Tillaga S+U'!$F$4</f>
        <v>31</v>
      </c>
      <c r="C25" s="146">
        <f>(' Samant. framkv-fjárf 2017-2020'!D50+' Samant. framkv-fjárf 2017-2020'!E50)/'Tillaga S+U'!$F$4</f>
        <v>18</v>
      </c>
      <c r="D25" s="146">
        <f>(' Samant. framkv-fjárf 2017-2020'!F50+' Samant. framkv-fjárf 2017-2020'!G50)/'Tillaga S+U'!$F$4</f>
        <v>18</v>
      </c>
      <c r="E25" s="168">
        <f>(' Samant. framkv-fjárf 2017-2020'!H50+' Samant. framkv-fjárf 2017-2020'!I50)/'Tillaga S+U'!$F$4</f>
        <v>11</v>
      </c>
      <c r="F25" s="198">
        <f t="shared" si="0"/>
        <v>78</v>
      </c>
      <c r="I25" s="171"/>
      <c r="J25" s="171"/>
    </row>
    <row r="26" spans="1:10" ht="15.75" thickBot="1" x14ac:dyDescent="0.3">
      <c r="A26" s="194" t="s">
        <v>65</v>
      </c>
      <c r="B26" s="169">
        <f>SUM(B7:B25)</f>
        <v>692.65</v>
      </c>
      <c r="C26" s="169">
        <f>SUM(C7:C25)</f>
        <v>839.65</v>
      </c>
      <c r="D26" s="169">
        <f>SUM(D7:D25)</f>
        <v>472.4</v>
      </c>
      <c r="E26" s="169">
        <f>SUM(E7:E25)</f>
        <v>253.5</v>
      </c>
      <c r="F26" s="201">
        <f>SUM(B26:E26)</f>
        <v>2258.1999999999998</v>
      </c>
      <c r="I26" s="171"/>
      <c r="J26" s="171"/>
    </row>
    <row r="27" spans="1:10" ht="15.75" thickTop="1" x14ac:dyDescent="0.25">
      <c r="A27" s="199" t="s">
        <v>19</v>
      </c>
      <c r="B27" s="146">
        <f>B26-B28</f>
        <v>597</v>
      </c>
      <c r="C27" s="146">
        <f>C26-C28</f>
        <v>724</v>
      </c>
      <c r="D27" s="146">
        <f>D26-D28</f>
        <v>376</v>
      </c>
      <c r="E27" s="146">
        <f>E26-E28</f>
        <v>180</v>
      </c>
      <c r="F27" s="187">
        <f>B27+C27+D27+E27</f>
        <v>1877</v>
      </c>
    </row>
    <row r="28" spans="1:10" ht="15.75" thickBot="1" x14ac:dyDescent="0.3">
      <c r="A28" s="202" t="s">
        <v>209</v>
      </c>
      <c r="B28" s="234">
        <f>(' Samant. framkv-fjárf 2017-2020'!C53)/'Tillaga S+U'!$F$4</f>
        <v>95.65</v>
      </c>
      <c r="C28" s="234">
        <f>' Samant. framkv-fjárf 2017-2020'!E53/'Tillaga S+U'!$F$4</f>
        <v>115.65</v>
      </c>
      <c r="D28" s="234">
        <f>' Samant. framkv-fjárf 2017-2020'!G53/'Tillaga S+U'!$F$4</f>
        <v>96.4</v>
      </c>
      <c r="E28" s="234">
        <f>' Samant. framkv-fjárf 2017-2020'!I53/'Tillaga S+U'!$F$4</f>
        <v>73.5</v>
      </c>
      <c r="F28" s="203">
        <f>B28+C28+D28+E28</f>
        <v>381.20000000000005</v>
      </c>
    </row>
    <row r="32" spans="1:10" x14ac:dyDescent="0.25">
      <c r="A32" s="151"/>
      <c r="B32" s="150"/>
      <c r="C32" s="150"/>
      <c r="D32" s="150"/>
      <c r="E32" s="150"/>
      <c r="F32" s="152"/>
    </row>
    <row r="33" spans="1:6" x14ac:dyDescent="0.25">
      <c r="A33" s="74"/>
      <c r="B33" s="74"/>
      <c r="C33" s="74"/>
      <c r="D33" s="74"/>
      <c r="E33" s="74"/>
      <c r="F33" s="74"/>
    </row>
    <row r="34" spans="1:6" x14ac:dyDescent="0.25">
      <c r="A34" s="74"/>
      <c r="B34" s="74"/>
      <c r="C34" s="74"/>
      <c r="D34" s="74"/>
      <c r="E34" s="74"/>
      <c r="F34" s="74"/>
    </row>
    <row r="35" spans="1:6" x14ac:dyDescent="0.25">
      <c r="A35" s="74"/>
      <c r="B35" s="74"/>
      <c r="C35" s="74"/>
      <c r="D35" s="74"/>
      <c r="E35" s="74"/>
      <c r="F35" s="74"/>
    </row>
    <row r="36" spans="1:6" x14ac:dyDescent="0.25">
      <c r="A36" s="74"/>
      <c r="B36" s="74"/>
      <c r="C36" s="74"/>
      <c r="D36" s="74"/>
      <c r="E36" s="74"/>
      <c r="F36" s="74"/>
    </row>
  </sheetData>
  <mergeCells count="1">
    <mergeCell ref="A3:F3"/>
  </mergeCells>
  <pageMargins left="0.7" right="0.7" top="0.75" bottom="0.75" header="0.3" footer="0.3"/>
  <pageSetup paperSize="9" scale="9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8"/>
  <sheetViews>
    <sheetView workbookViewId="0">
      <selection activeCell="C24" sqref="C24"/>
    </sheetView>
  </sheetViews>
  <sheetFormatPr defaultRowHeight="15" x14ac:dyDescent="0.25"/>
  <cols>
    <col min="2" max="2" width="35.7109375" bestFit="1" customWidth="1"/>
    <col min="3" max="3" width="12.140625" customWidth="1"/>
    <col min="4" max="4" width="10.28515625" customWidth="1"/>
    <col min="7" max="7" width="2.7109375" customWidth="1"/>
  </cols>
  <sheetData>
    <row r="2" spans="2:5" x14ac:dyDescent="0.25">
      <c r="B2" t="s">
        <v>222</v>
      </c>
    </row>
    <row r="3" spans="2:5" x14ac:dyDescent="0.25">
      <c r="B3" t="s">
        <v>223</v>
      </c>
    </row>
    <row r="6" spans="2:5" x14ac:dyDescent="0.25">
      <c r="B6" t="s">
        <v>224</v>
      </c>
      <c r="C6" s="190" t="s">
        <v>225</v>
      </c>
      <c r="E6" s="64" t="s">
        <v>226</v>
      </c>
    </row>
    <row r="7" spans="2:5" x14ac:dyDescent="0.25">
      <c r="B7" t="s">
        <v>227</v>
      </c>
      <c r="C7" s="190">
        <v>1000000</v>
      </c>
    </row>
    <row r="8" spans="2:5" x14ac:dyDescent="0.25">
      <c r="B8" t="s">
        <v>228</v>
      </c>
      <c r="C8" s="190">
        <v>1500000</v>
      </c>
    </row>
    <row r="9" spans="2:5" x14ac:dyDescent="0.25">
      <c r="B9" t="s">
        <v>229</v>
      </c>
      <c r="C9" s="190">
        <v>1500000</v>
      </c>
    </row>
    <row r="10" spans="2:5" x14ac:dyDescent="0.25">
      <c r="B10" t="s">
        <v>230</v>
      </c>
      <c r="C10" s="190">
        <v>2500000</v>
      </c>
    </row>
    <row r="11" spans="2:5" x14ac:dyDescent="0.25">
      <c r="B11" t="s">
        <v>231</v>
      </c>
      <c r="C11" s="190">
        <v>700000</v>
      </c>
    </row>
    <row r="12" spans="2:5" x14ac:dyDescent="0.25">
      <c r="B12" t="s">
        <v>232</v>
      </c>
      <c r="C12" s="190">
        <v>1200000</v>
      </c>
    </row>
    <row r="13" spans="2:5" x14ac:dyDescent="0.25">
      <c r="B13" t="s">
        <v>233</v>
      </c>
      <c r="C13" s="190">
        <v>1500000</v>
      </c>
    </row>
    <row r="14" spans="2:5" x14ac:dyDescent="0.25">
      <c r="B14" t="s">
        <v>234</v>
      </c>
      <c r="C14" s="190">
        <v>7000000</v>
      </c>
    </row>
    <row r="15" spans="2:5" x14ac:dyDescent="0.25">
      <c r="B15" t="s">
        <v>235</v>
      </c>
      <c r="C15" s="190">
        <v>1000000</v>
      </c>
    </row>
    <row r="16" spans="2:5" x14ac:dyDescent="0.25">
      <c r="B16" t="s">
        <v>236</v>
      </c>
      <c r="C16" s="191">
        <v>1000000</v>
      </c>
    </row>
    <row r="17" spans="2:3" ht="15.75" thickBot="1" x14ac:dyDescent="0.3">
      <c r="B17" s="192" t="s">
        <v>65</v>
      </c>
      <c r="C17" s="193">
        <f>SUM(C7:C16)</f>
        <v>18900000</v>
      </c>
    </row>
    <row r="18" spans="2:3" ht="15.75" thickTop="1"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B28"/>
  <sheetViews>
    <sheetView workbookViewId="0">
      <selection activeCell="H25" sqref="H25"/>
    </sheetView>
  </sheetViews>
  <sheetFormatPr defaultRowHeight="15" x14ac:dyDescent="0.25"/>
  <cols>
    <col min="1" max="1" width="33.85546875" customWidth="1"/>
    <col min="2" max="2" width="14.5703125" customWidth="1"/>
  </cols>
  <sheetData>
    <row r="2" spans="1:2" x14ac:dyDescent="0.25">
      <c r="A2" s="156" t="s">
        <v>10</v>
      </c>
      <c r="B2" s="156" t="s">
        <v>212</v>
      </c>
    </row>
    <row r="3" spans="1:2" x14ac:dyDescent="0.25">
      <c r="A3" s="74" t="s">
        <v>196</v>
      </c>
      <c r="B3" s="157">
        <v>0.1</v>
      </c>
    </row>
    <row r="4" spans="1:2" x14ac:dyDescent="0.25">
      <c r="A4" s="74" t="s">
        <v>197</v>
      </c>
      <c r="B4" s="157">
        <v>0</v>
      </c>
    </row>
    <row r="5" spans="1:2" x14ac:dyDescent="0.25">
      <c r="A5" s="74" t="s">
        <v>198</v>
      </c>
      <c r="B5" s="157">
        <v>0</v>
      </c>
    </row>
    <row r="6" spans="1:2" x14ac:dyDescent="0.25">
      <c r="A6" s="74" t="s">
        <v>30</v>
      </c>
      <c r="B6" s="157">
        <v>0</v>
      </c>
    </row>
    <row r="7" spans="1:2" x14ac:dyDescent="0.25">
      <c r="A7" s="74" t="s">
        <v>199</v>
      </c>
      <c r="B7" s="157">
        <v>0.25</v>
      </c>
    </row>
    <row r="8" spans="1:2" x14ac:dyDescent="0.25">
      <c r="A8" s="74" t="s">
        <v>47</v>
      </c>
      <c r="B8" s="157">
        <v>0</v>
      </c>
    </row>
    <row r="9" spans="1:2" x14ac:dyDescent="0.25">
      <c r="A9" s="74" t="s">
        <v>53</v>
      </c>
      <c r="B9" s="157">
        <v>0</v>
      </c>
    </row>
    <row r="10" spans="1:2" x14ac:dyDescent="0.25">
      <c r="A10" s="154" t="s">
        <v>210</v>
      </c>
      <c r="B10" s="157">
        <v>0</v>
      </c>
    </row>
    <row r="11" spans="1:2" x14ac:dyDescent="0.25">
      <c r="A11" s="153" t="s">
        <v>64</v>
      </c>
      <c r="B11" s="157">
        <v>1</v>
      </c>
    </row>
    <row r="12" spans="1:2" x14ac:dyDescent="0.25">
      <c r="A12" s="156" t="s">
        <v>38</v>
      </c>
      <c r="B12" s="156"/>
    </row>
    <row r="13" spans="1:2" x14ac:dyDescent="0.25">
      <c r="A13" s="74" t="s">
        <v>33</v>
      </c>
      <c r="B13" s="157">
        <v>0.15</v>
      </c>
    </row>
    <row r="14" spans="1:2" x14ac:dyDescent="0.25">
      <c r="A14" s="74" t="s">
        <v>200</v>
      </c>
      <c r="B14" s="157">
        <v>0</v>
      </c>
    </row>
    <row r="15" spans="1:2" x14ac:dyDescent="0.25">
      <c r="A15" s="74" t="s">
        <v>40</v>
      </c>
      <c r="B15" s="157">
        <v>0</v>
      </c>
    </row>
    <row r="16" spans="1:2" x14ac:dyDescent="0.25">
      <c r="A16" s="74" t="s">
        <v>201</v>
      </c>
      <c r="B16" s="157">
        <v>0</v>
      </c>
    </row>
    <row r="17" spans="1:2" x14ac:dyDescent="0.25">
      <c r="A17" s="74"/>
      <c r="B17" s="157"/>
    </row>
    <row r="18" spans="1:2" x14ac:dyDescent="0.25">
      <c r="A18" s="156" t="s">
        <v>211</v>
      </c>
      <c r="B18" s="156"/>
    </row>
    <row r="19" spans="1:2" x14ac:dyDescent="0.25">
      <c r="A19" s="74" t="s">
        <v>211</v>
      </c>
      <c r="B19" s="157">
        <v>0.15</v>
      </c>
    </row>
    <row r="20" spans="1:2" x14ac:dyDescent="0.25">
      <c r="A20" s="74"/>
      <c r="B20" s="157"/>
    </row>
    <row r="21" spans="1:2" x14ac:dyDescent="0.25">
      <c r="A21" s="156" t="s">
        <v>202</v>
      </c>
      <c r="B21" s="156"/>
    </row>
    <row r="22" spans="1:2" x14ac:dyDescent="0.25">
      <c r="A22" s="74" t="s">
        <v>203</v>
      </c>
      <c r="B22" s="157">
        <v>0.1</v>
      </c>
    </row>
    <row r="23" spans="1:2" x14ac:dyDescent="0.25">
      <c r="A23" s="153" t="s">
        <v>202</v>
      </c>
      <c r="B23" s="157">
        <v>1</v>
      </c>
    </row>
    <row r="24" spans="1:2" x14ac:dyDescent="0.25">
      <c r="A24" s="153" t="s">
        <v>16</v>
      </c>
      <c r="B24" s="157">
        <v>0.25</v>
      </c>
    </row>
    <row r="25" spans="1:2" x14ac:dyDescent="0.25">
      <c r="A25" s="74"/>
    </row>
    <row r="26" spans="1:2" x14ac:dyDescent="0.25">
      <c r="A26" s="151"/>
    </row>
    <row r="27" spans="1:2" x14ac:dyDescent="0.25">
      <c r="A27" s="153"/>
    </row>
    <row r="28" spans="1:2" x14ac:dyDescent="0.25">
      <c r="A28" s="15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Q58"/>
  <sheetViews>
    <sheetView tabSelected="1" zoomScale="70" zoomScaleNormal="70" workbookViewId="0">
      <pane ySplit="4" topLeftCell="A29" activePane="bottomLeft" state="frozen"/>
      <selection pane="bottomLeft" activeCell="B48" sqref="B48"/>
    </sheetView>
  </sheetViews>
  <sheetFormatPr defaultColWidth="9.140625" defaultRowHeight="15" x14ac:dyDescent="0.25"/>
  <cols>
    <col min="1" max="1" width="37.42578125" style="6" customWidth="1"/>
    <col min="2" max="2" width="19.7109375" style="6" bestFit="1" customWidth="1"/>
    <col min="3" max="3" width="18.7109375" style="6" bestFit="1" customWidth="1"/>
    <col min="4" max="4" width="22.5703125" style="6" customWidth="1"/>
    <col min="5" max="5" width="19.28515625" style="6" bestFit="1" customWidth="1"/>
    <col min="6" max="6" width="19.7109375" style="6" customWidth="1"/>
    <col min="7" max="7" width="18.7109375" style="6" bestFit="1" customWidth="1"/>
    <col min="8" max="8" width="19.140625" style="6" customWidth="1"/>
    <col min="9" max="9" width="18.7109375" style="6" bestFit="1" customWidth="1"/>
    <col min="10" max="10" width="21.7109375" style="6" hidden="1" customWidth="1"/>
    <col min="11" max="11" width="94.28515625" style="6" hidden="1" customWidth="1"/>
    <col min="12" max="12" width="9.140625" style="6"/>
    <col min="13" max="14" width="11.42578125" style="6" bestFit="1" customWidth="1"/>
    <col min="15" max="16384" width="9.140625" style="6"/>
  </cols>
  <sheetData>
    <row r="1" spans="1:11" x14ac:dyDescent="0.25">
      <c r="A1" s="1">
        <v>42709</v>
      </c>
      <c r="B1" s="5"/>
      <c r="C1" s="5"/>
      <c r="D1" s="5"/>
      <c r="E1" s="5"/>
      <c r="F1" s="5"/>
      <c r="G1" s="5"/>
      <c r="H1" s="5"/>
      <c r="I1" s="5"/>
      <c r="J1" s="5"/>
      <c r="K1" s="2"/>
    </row>
    <row r="2" spans="1:11" ht="53.1" customHeight="1" thickBot="1" x14ac:dyDescent="0.3">
      <c r="A2" s="238" t="s">
        <v>310</v>
      </c>
      <c r="B2" s="239"/>
      <c r="C2" s="239"/>
      <c r="D2" s="239"/>
      <c r="E2" s="239"/>
      <c r="F2" s="239"/>
      <c r="G2" s="239"/>
      <c r="H2" s="239"/>
      <c r="I2" s="239"/>
      <c r="J2" s="239"/>
      <c r="K2" s="240"/>
    </row>
    <row r="3" spans="1:11" ht="43.9" customHeight="1" thickBot="1" x14ac:dyDescent="0.3">
      <c r="A3" s="148" t="s">
        <v>19</v>
      </c>
      <c r="B3" s="241">
        <v>2017</v>
      </c>
      <c r="C3" s="241"/>
      <c r="D3" s="241">
        <v>2018</v>
      </c>
      <c r="E3" s="241"/>
      <c r="F3" s="241">
        <v>2019</v>
      </c>
      <c r="G3" s="241"/>
      <c r="H3" s="241">
        <v>2020</v>
      </c>
      <c r="I3" s="241"/>
      <c r="J3" s="172" t="s">
        <v>214</v>
      </c>
      <c r="K3" s="149" t="s">
        <v>3</v>
      </c>
    </row>
    <row r="4" spans="1:11" x14ac:dyDescent="0.25">
      <c r="A4" s="23"/>
      <c r="B4" s="28" t="s">
        <v>19</v>
      </c>
      <c r="C4" s="29" t="s">
        <v>34</v>
      </c>
      <c r="D4" s="28" t="s">
        <v>19</v>
      </c>
      <c r="E4" s="29" t="s">
        <v>34</v>
      </c>
      <c r="F4" s="28" t="s">
        <v>19</v>
      </c>
      <c r="G4" s="29" t="s">
        <v>34</v>
      </c>
      <c r="H4" s="28" t="s">
        <v>19</v>
      </c>
      <c r="I4" s="29" t="s">
        <v>34</v>
      </c>
      <c r="J4" s="27"/>
      <c r="K4" s="16"/>
    </row>
    <row r="5" spans="1:11" ht="18.75" x14ac:dyDescent="0.25">
      <c r="A5" s="24" t="s">
        <v>0</v>
      </c>
      <c r="B5" s="30"/>
      <c r="C5" s="31"/>
      <c r="D5" s="30"/>
      <c r="E5" s="31"/>
      <c r="F5" s="30"/>
      <c r="G5" s="31"/>
      <c r="H5" s="30"/>
      <c r="I5" s="31"/>
      <c r="J5" s="173"/>
      <c r="K5" s="13"/>
    </row>
    <row r="6" spans="1:11" x14ac:dyDescent="0.25">
      <c r="A6" s="3" t="s">
        <v>29</v>
      </c>
      <c r="B6" s="21">
        <v>125000000</v>
      </c>
      <c r="C6" s="22">
        <f>J6*B6</f>
        <v>12500000</v>
      </c>
      <c r="D6" s="21">
        <f>'Götur-yfirlagnir'!B4</f>
        <v>80000000</v>
      </c>
      <c r="E6" s="22">
        <f>D6*J6</f>
        <v>8000000</v>
      </c>
      <c r="F6" s="21">
        <f>'Götur-yfirlagnir'!B7</f>
        <v>100000000</v>
      </c>
      <c r="G6" s="22">
        <f>F6*J6</f>
        <v>10000000</v>
      </c>
      <c r="H6" s="21">
        <f>'Götur-yfirlagnir'!B9+'Götur-yfirlagnir'!B5</f>
        <v>61000000</v>
      </c>
      <c r="I6" s="22">
        <f>H6*$J$6</f>
        <v>6100000</v>
      </c>
      <c r="J6" s="174">
        <v>0.1</v>
      </c>
      <c r="K6" s="13" t="s">
        <v>220</v>
      </c>
    </row>
    <row r="7" spans="1:11" x14ac:dyDescent="0.25">
      <c r="A7" s="3" t="s">
        <v>191</v>
      </c>
      <c r="B7" s="21">
        <v>13000000</v>
      </c>
      <c r="C7" s="22">
        <f>B7*$J$7</f>
        <v>0</v>
      </c>
      <c r="D7" s="21">
        <f>13000000</f>
        <v>13000000</v>
      </c>
      <c r="E7" s="22">
        <f>D7*$J$7</f>
        <v>0</v>
      </c>
      <c r="F7" s="21">
        <v>13000000</v>
      </c>
      <c r="G7" s="22">
        <f>F7*$J$7</f>
        <v>0</v>
      </c>
      <c r="H7" s="21">
        <v>13000000</v>
      </c>
      <c r="I7" s="22">
        <f>H7*$J$7</f>
        <v>0</v>
      </c>
      <c r="J7" s="175">
        <v>0</v>
      </c>
      <c r="K7" s="19" t="s">
        <v>193</v>
      </c>
    </row>
    <row r="8" spans="1:11" x14ac:dyDescent="0.25">
      <c r="A8" s="3" t="s">
        <v>63</v>
      </c>
      <c r="B8" s="21"/>
      <c r="C8" s="22">
        <v>5000000</v>
      </c>
      <c r="D8" s="21"/>
      <c r="E8" s="22">
        <v>5000000</v>
      </c>
      <c r="F8" s="21"/>
      <c r="G8" s="22">
        <v>5000000</v>
      </c>
      <c r="H8" s="21"/>
      <c r="I8" s="22">
        <v>5000000</v>
      </c>
      <c r="J8" s="175">
        <v>1</v>
      </c>
      <c r="K8" s="19"/>
    </row>
    <row r="9" spans="1:11" x14ac:dyDescent="0.25">
      <c r="A9" s="3" t="s">
        <v>49</v>
      </c>
      <c r="B9" s="21">
        <v>4000000</v>
      </c>
      <c r="C9" s="22">
        <f>B9*$J$9</f>
        <v>1000000</v>
      </c>
      <c r="D9" s="21">
        <v>4000000</v>
      </c>
      <c r="E9" s="22">
        <f>D9*$J$9</f>
        <v>1000000</v>
      </c>
      <c r="F9" s="21">
        <v>4000000</v>
      </c>
      <c r="G9" s="22">
        <f>F9*J9</f>
        <v>1000000</v>
      </c>
      <c r="H9" s="21">
        <v>4000000</v>
      </c>
      <c r="I9" s="22">
        <f>H9*$J$9</f>
        <v>1000000</v>
      </c>
      <c r="J9" s="175">
        <v>0.25</v>
      </c>
      <c r="K9" s="19" t="s">
        <v>54</v>
      </c>
    </row>
    <row r="10" spans="1:11" x14ac:dyDescent="0.25">
      <c r="A10" s="3" t="s">
        <v>265</v>
      </c>
      <c r="B10" s="21">
        <v>10000000</v>
      </c>
      <c r="C10" s="22">
        <f>$J$10*B10</f>
        <v>0</v>
      </c>
      <c r="D10" s="21">
        <v>10000000</v>
      </c>
      <c r="E10" s="22">
        <f>D10*$J$10</f>
        <v>0</v>
      </c>
      <c r="F10" s="21">
        <v>10000000</v>
      </c>
      <c r="G10" s="22">
        <f>F10*$J$10</f>
        <v>0</v>
      </c>
      <c r="H10" s="21">
        <v>10000000</v>
      </c>
      <c r="I10" s="22">
        <f>H10*$J$10</f>
        <v>0</v>
      </c>
      <c r="J10" s="175">
        <v>0</v>
      </c>
      <c r="K10" s="19" t="s">
        <v>55</v>
      </c>
    </row>
    <row r="11" spans="1:11" x14ac:dyDescent="0.25">
      <c r="A11" s="3" t="s">
        <v>23</v>
      </c>
      <c r="B11" s="21"/>
      <c r="C11" s="22">
        <v>2000000</v>
      </c>
      <c r="D11" s="21"/>
      <c r="E11" s="22">
        <v>2000000</v>
      </c>
      <c r="F11" s="21"/>
      <c r="G11" s="22">
        <v>2000000</v>
      </c>
      <c r="H11" s="21"/>
      <c r="I11" s="22">
        <v>2000000</v>
      </c>
      <c r="J11" s="175">
        <v>1</v>
      </c>
      <c r="K11" s="19" t="s">
        <v>56</v>
      </c>
    </row>
    <row r="12" spans="1:11" ht="19.350000000000001" customHeight="1" x14ac:dyDescent="0.25">
      <c r="A12" s="3" t="s">
        <v>24</v>
      </c>
      <c r="B12" s="21">
        <v>5000000</v>
      </c>
      <c r="C12" s="22">
        <f>B12*$J$12</f>
        <v>1000000</v>
      </c>
      <c r="D12" s="21">
        <v>5000000</v>
      </c>
      <c r="E12" s="22">
        <f>D12*$J$12</f>
        <v>1000000</v>
      </c>
      <c r="F12" s="21">
        <v>5000000</v>
      </c>
      <c r="G12" s="22">
        <f>F12*$J$12</f>
        <v>1000000</v>
      </c>
      <c r="H12" s="21">
        <v>5000000</v>
      </c>
      <c r="I12" s="22">
        <f>H12*$J$12</f>
        <v>1000000</v>
      </c>
      <c r="J12" s="175">
        <v>0.2</v>
      </c>
      <c r="K12" s="19" t="s">
        <v>57</v>
      </c>
    </row>
    <row r="13" spans="1:11" ht="23.1" customHeight="1" x14ac:dyDescent="0.25">
      <c r="A13" s="3" t="s">
        <v>28</v>
      </c>
      <c r="B13" s="21">
        <v>7000000</v>
      </c>
      <c r="C13" s="22">
        <f>B13*J13</f>
        <v>4900000</v>
      </c>
      <c r="D13" s="21">
        <v>7000000</v>
      </c>
      <c r="E13" s="22">
        <f>J13*D13</f>
        <v>4900000</v>
      </c>
      <c r="F13" s="21">
        <v>7000000</v>
      </c>
      <c r="G13" s="22">
        <f>F13*$J$13</f>
        <v>4900000</v>
      </c>
      <c r="H13" s="21">
        <v>7000000</v>
      </c>
      <c r="I13" s="22">
        <f>H13*$J$13</f>
        <v>4900000</v>
      </c>
      <c r="J13" s="175">
        <v>0.7</v>
      </c>
      <c r="K13" s="19" t="s">
        <v>58</v>
      </c>
    </row>
    <row r="14" spans="1:11" ht="15.75" thickBot="1" x14ac:dyDescent="0.3">
      <c r="A14" s="10" t="s">
        <v>50</v>
      </c>
      <c r="B14" s="32">
        <f t="shared" ref="B14:I14" si="0">SUM(B6:B13)</f>
        <v>164000000</v>
      </c>
      <c r="C14" s="33">
        <f t="shared" si="0"/>
        <v>26400000</v>
      </c>
      <c r="D14" s="32">
        <f t="shared" si="0"/>
        <v>119000000</v>
      </c>
      <c r="E14" s="33">
        <f t="shared" si="0"/>
        <v>21900000</v>
      </c>
      <c r="F14" s="32">
        <f t="shared" si="0"/>
        <v>139000000</v>
      </c>
      <c r="G14" s="33">
        <f t="shared" si="0"/>
        <v>23900000</v>
      </c>
      <c r="H14" s="32">
        <f t="shared" si="0"/>
        <v>100000000</v>
      </c>
      <c r="I14" s="33">
        <f t="shared" si="0"/>
        <v>20000000</v>
      </c>
      <c r="J14" s="176">
        <f>I14/(H14+I14)</f>
        <v>0.16666666666666666</v>
      </c>
      <c r="K14" s="18"/>
    </row>
    <row r="15" spans="1:11" ht="15.75" thickTop="1" x14ac:dyDescent="0.25">
      <c r="A15" s="3"/>
      <c r="B15" s="21"/>
      <c r="C15" s="22"/>
      <c r="D15" s="21"/>
      <c r="E15" s="22"/>
      <c r="F15" s="21"/>
      <c r="G15" s="22"/>
      <c r="H15" s="21"/>
      <c r="I15" s="22"/>
      <c r="J15" s="177"/>
      <c r="K15" s="16"/>
    </row>
    <row r="16" spans="1:11" ht="18.75" x14ac:dyDescent="0.25">
      <c r="A16" s="24" t="s">
        <v>42</v>
      </c>
      <c r="B16" s="163"/>
      <c r="C16" s="22"/>
      <c r="D16" s="163"/>
      <c r="E16" s="22"/>
      <c r="F16" s="21"/>
      <c r="G16" s="22"/>
      <c r="H16" s="170"/>
      <c r="I16" s="22"/>
      <c r="J16" s="177"/>
      <c r="K16" s="19"/>
    </row>
    <row r="17" spans="1:11" x14ac:dyDescent="0.25">
      <c r="A17" s="15" t="s">
        <v>51</v>
      </c>
      <c r="B17" s="21"/>
      <c r="C17" s="22"/>
      <c r="D17" s="21">
        <v>20000000</v>
      </c>
      <c r="E17" s="22"/>
      <c r="F17" s="21">
        <v>20000000</v>
      </c>
      <c r="G17" s="22"/>
      <c r="H17" s="21">
        <v>20000000</v>
      </c>
      <c r="I17" s="22"/>
      <c r="J17" s="175">
        <v>0</v>
      </c>
      <c r="K17" s="19" t="s">
        <v>190</v>
      </c>
    </row>
    <row r="18" spans="1:11" ht="21" customHeight="1" x14ac:dyDescent="0.25">
      <c r="A18" s="15" t="s">
        <v>52</v>
      </c>
      <c r="B18" s="21">
        <v>50000000</v>
      </c>
      <c r="C18" s="22">
        <f>B18*$J$18</f>
        <v>5000000</v>
      </c>
      <c r="D18" s="21"/>
      <c r="E18" s="22"/>
      <c r="F18" s="21">
        <v>65000000</v>
      </c>
      <c r="G18" s="22">
        <f>F18*$J$18</f>
        <v>6500000</v>
      </c>
      <c r="H18" s="21"/>
      <c r="I18" s="22"/>
      <c r="J18" s="175">
        <v>0.1</v>
      </c>
      <c r="K18" s="19" t="s">
        <v>239</v>
      </c>
    </row>
    <row r="19" spans="1:11" ht="20.100000000000001" customHeight="1" x14ac:dyDescent="0.25">
      <c r="A19" s="15" t="s">
        <v>30</v>
      </c>
      <c r="B19" s="21"/>
      <c r="C19" s="22"/>
      <c r="D19" s="21"/>
      <c r="E19" s="22"/>
      <c r="F19" s="21">
        <v>50000000</v>
      </c>
      <c r="G19" s="22"/>
      <c r="H19" s="21"/>
      <c r="I19" s="22"/>
      <c r="J19" s="175">
        <v>0</v>
      </c>
      <c r="K19" s="19" t="s">
        <v>240</v>
      </c>
    </row>
    <row r="20" spans="1:11" ht="45.6" customHeight="1" x14ac:dyDescent="0.25">
      <c r="A20" s="15" t="s">
        <v>277</v>
      </c>
      <c r="B20" s="21">
        <v>70000000</v>
      </c>
      <c r="C20" s="22"/>
      <c r="D20" s="21">
        <v>380000000</v>
      </c>
      <c r="E20" s="22"/>
      <c r="G20" s="22"/>
      <c r="I20" s="22"/>
      <c r="J20" s="175">
        <v>0</v>
      </c>
      <c r="K20" s="19" t="s">
        <v>241</v>
      </c>
    </row>
    <row r="21" spans="1:11" x14ac:dyDescent="0.25">
      <c r="A21" s="195" t="s">
        <v>195</v>
      </c>
      <c r="B21" s="21">
        <v>10000000</v>
      </c>
      <c r="C21" s="22">
        <f>B21*$J$21</f>
        <v>2500000</v>
      </c>
      <c r="D21" s="21">
        <v>25000000</v>
      </c>
      <c r="E21" s="22">
        <f>J21*D21</f>
        <v>6250000</v>
      </c>
      <c r="F21" s="21">
        <v>15000000</v>
      </c>
      <c r="G21" s="22">
        <f>$J$21*F21</f>
        <v>3750000</v>
      </c>
      <c r="H21" s="21"/>
      <c r="I21" s="22"/>
      <c r="J21" s="175">
        <v>0.25</v>
      </c>
      <c r="K21" s="19" t="s">
        <v>309</v>
      </c>
    </row>
    <row r="22" spans="1:11" x14ac:dyDescent="0.25">
      <c r="A22" s="15"/>
      <c r="B22" s="21"/>
      <c r="C22" s="22"/>
      <c r="D22" s="21"/>
      <c r="E22" s="22"/>
      <c r="F22" s="21"/>
      <c r="G22" s="22"/>
      <c r="H22" s="21"/>
      <c r="I22" s="22"/>
      <c r="J22" s="175"/>
      <c r="K22" s="19"/>
    </row>
    <row r="23" spans="1:11" x14ac:dyDescent="0.25">
      <c r="A23" s="15" t="s">
        <v>217</v>
      </c>
      <c r="B23" s="37">
        <v>8000000</v>
      </c>
      <c r="C23" s="181"/>
      <c r="D23" s="37">
        <v>12000000</v>
      </c>
      <c r="E23" s="22"/>
      <c r="F23" s="21"/>
      <c r="G23" s="22"/>
      <c r="H23" s="21"/>
      <c r="I23" s="22"/>
      <c r="J23" s="175"/>
      <c r="K23" s="139" t="s">
        <v>314</v>
      </c>
    </row>
    <row r="24" spans="1:11" x14ac:dyDescent="0.25">
      <c r="A24" s="15" t="s">
        <v>216</v>
      </c>
      <c r="B24" s="37">
        <v>10000000</v>
      </c>
      <c r="C24" s="22"/>
      <c r="D24" s="21">
        <v>38000000</v>
      </c>
      <c r="E24" s="22"/>
      <c r="F24" s="180"/>
      <c r="G24" s="22"/>
      <c r="H24" s="21"/>
      <c r="I24" s="22"/>
      <c r="J24" s="175">
        <v>0</v>
      </c>
      <c r="K24" s="19"/>
    </row>
    <row r="25" spans="1:11" x14ac:dyDescent="0.25">
      <c r="A25" s="15" t="s">
        <v>64</v>
      </c>
      <c r="B25" s="21"/>
      <c r="C25" s="22">
        <v>10000000</v>
      </c>
      <c r="D25" s="21"/>
      <c r="E25" s="22">
        <v>10000000</v>
      </c>
      <c r="F25" s="21"/>
      <c r="G25" s="22">
        <v>10000000</v>
      </c>
      <c r="H25" s="21"/>
      <c r="I25" s="22">
        <v>10000000</v>
      </c>
      <c r="J25" s="175">
        <v>1</v>
      </c>
      <c r="K25" s="19" t="s">
        <v>242</v>
      </c>
    </row>
    <row r="26" spans="1:11" ht="15.75" thickBot="1" x14ac:dyDescent="0.3">
      <c r="A26" s="10" t="s">
        <v>50</v>
      </c>
      <c r="B26" s="32">
        <f>SUM(B17:B24)</f>
        <v>148000000</v>
      </c>
      <c r="C26" s="33">
        <f>SUM(C17:C25)</f>
        <v>17500000</v>
      </c>
      <c r="D26" s="32">
        <f>SUM(D17:D24)</f>
        <v>475000000</v>
      </c>
      <c r="E26" s="33">
        <f>SUM(E17:E25)</f>
        <v>16250000</v>
      </c>
      <c r="F26" s="32">
        <f>SUM(F17:F24)</f>
        <v>150000000</v>
      </c>
      <c r="G26" s="33">
        <f>SUM(G17:G25)</f>
        <v>20250000</v>
      </c>
      <c r="H26" s="32">
        <f>SUM(H17:H24)</f>
        <v>20000000</v>
      </c>
      <c r="I26" s="33">
        <f>SUM(I17:I25)</f>
        <v>10000000</v>
      </c>
      <c r="J26" s="178"/>
      <c r="K26" s="19"/>
    </row>
    <row r="27" spans="1:11" ht="19.5" thickTop="1" x14ac:dyDescent="0.25">
      <c r="A27" s="11"/>
      <c r="B27" s="21"/>
      <c r="C27" s="22"/>
      <c r="D27" s="21"/>
      <c r="E27" s="22"/>
      <c r="F27" s="21"/>
      <c r="G27" s="22"/>
      <c r="H27" s="21"/>
      <c r="I27" s="22"/>
      <c r="J27" s="177"/>
      <c r="K27" s="19"/>
    </row>
    <row r="28" spans="1:11" ht="18.75" x14ac:dyDescent="0.25">
      <c r="A28" s="11" t="s">
        <v>38</v>
      </c>
      <c r="B28" s="21"/>
      <c r="C28" s="22"/>
      <c r="D28" s="21"/>
      <c r="E28" s="22"/>
      <c r="F28" s="21"/>
      <c r="G28" s="22"/>
      <c r="H28" s="21"/>
      <c r="I28" s="22"/>
      <c r="J28" s="177"/>
      <c r="K28" s="19"/>
    </row>
    <row r="29" spans="1:11" x14ac:dyDescent="0.25">
      <c r="A29" s="15" t="s">
        <v>33</v>
      </c>
      <c r="B29" s="21">
        <v>165000000</v>
      </c>
      <c r="C29" s="22">
        <f>B29*$J$29</f>
        <v>24750000</v>
      </c>
      <c r="D29" s="21">
        <v>110000000</v>
      </c>
      <c r="E29" s="22">
        <f>D29*$J$29</f>
        <v>16500000</v>
      </c>
      <c r="F29" s="21">
        <v>75000000</v>
      </c>
      <c r="G29" s="22">
        <f>F29*$J$29</f>
        <v>11250000</v>
      </c>
      <c r="H29" s="21">
        <v>50000000</v>
      </c>
      <c r="I29" s="22">
        <f>J29*H29</f>
        <v>7500000</v>
      </c>
      <c r="J29" s="175">
        <v>0.15</v>
      </c>
      <c r="K29" s="19" t="s">
        <v>243</v>
      </c>
    </row>
    <row r="30" spans="1:11" ht="30" x14ac:dyDescent="0.25">
      <c r="A30" s="15" t="s">
        <v>39</v>
      </c>
      <c r="B30" s="37">
        <v>20000000</v>
      </c>
      <c r="C30" s="181"/>
      <c r="D30" s="21"/>
      <c r="E30" s="22"/>
      <c r="F30" s="21"/>
      <c r="G30" s="22"/>
      <c r="H30" s="21"/>
      <c r="I30" s="22"/>
      <c r="J30" s="177"/>
      <c r="K30" s="139" t="s">
        <v>244</v>
      </c>
    </row>
    <row r="31" spans="1:11" x14ac:dyDescent="0.25">
      <c r="A31" s="15" t="s">
        <v>40</v>
      </c>
      <c r="B31" s="21">
        <v>9000000</v>
      </c>
      <c r="C31" s="22"/>
      <c r="D31" s="21"/>
      <c r="E31" s="22"/>
      <c r="F31" s="21"/>
      <c r="G31" s="22"/>
      <c r="H31" s="21"/>
      <c r="I31" s="22"/>
      <c r="J31" s="175">
        <v>0</v>
      </c>
      <c r="K31" s="19" t="s">
        <v>245</v>
      </c>
    </row>
    <row r="32" spans="1:11" x14ac:dyDescent="0.25">
      <c r="A32" s="3" t="s">
        <v>21</v>
      </c>
      <c r="B32" s="21">
        <v>0</v>
      </c>
      <c r="C32" s="22"/>
      <c r="D32" s="21"/>
      <c r="E32" s="22"/>
      <c r="F32" s="21"/>
      <c r="G32" s="22"/>
      <c r="H32" s="21"/>
      <c r="I32" s="22"/>
      <c r="J32" s="177"/>
      <c r="K32" s="19" t="s">
        <v>246</v>
      </c>
    </row>
    <row r="33" spans="1:11" ht="15.75" thickBot="1" x14ac:dyDescent="0.3">
      <c r="A33" s="10" t="s">
        <v>50</v>
      </c>
      <c r="B33" s="32">
        <f t="shared" ref="B33:I33" si="1">SUM(B29:B32)</f>
        <v>194000000</v>
      </c>
      <c r="C33" s="33">
        <f t="shared" si="1"/>
        <v>24750000</v>
      </c>
      <c r="D33" s="32">
        <f t="shared" si="1"/>
        <v>110000000</v>
      </c>
      <c r="E33" s="33">
        <f t="shared" si="1"/>
        <v>16500000</v>
      </c>
      <c r="F33" s="32">
        <f t="shared" si="1"/>
        <v>75000000</v>
      </c>
      <c r="G33" s="33">
        <f t="shared" si="1"/>
        <v>11250000</v>
      </c>
      <c r="H33" s="32">
        <f t="shared" si="1"/>
        <v>50000000</v>
      </c>
      <c r="I33" s="33">
        <f t="shared" si="1"/>
        <v>7500000</v>
      </c>
      <c r="J33" s="178"/>
      <c r="K33" s="19"/>
    </row>
    <row r="34" spans="1:11" ht="15.75" thickTop="1" x14ac:dyDescent="0.25">
      <c r="A34" s="3"/>
      <c r="B34" s="21"/>
      <c r="C34" s="22"/>
      <c r="D34" s="21"/>
      <c r="E34" s="22"/>
      <c r="F34" s="21"/>
      <c r="G34" s="22"/>
      <c r="H34" s="21"/>
      <c r="I34" s="22"/>
      <c r="J34" s="175"/>
      <c r="K34" s="19"/>
    </row>
    <row r="35" spans="1:11" x14ac:dyDescent="0.25">
      <c r="A35" s="15"/>
      <c r="B35" s="21"/>
      <c r="C35" s="22"/>
      <c r="D35" s="21"/>
      <c r="E35" s="22"/>
      <c r="F35" s="21"/>
      <c r="G35" s="22"/>
      <c r="H35" s="21"/>
      <c r="I35" s="22"/>
      <c r="J35" s="175"/>
      <c r="K35" s="19"/>
    </row>
    <row r="36" spans="1:11" ht="37.5" x14ac:dyDescent="0.25">
      <c r="A36" s="11" t="s">
        <v>62</v>
      </c>
      <c r="B36" s="21"/>
      <c r="C36" s="22"/>
      <c r="D36" s="21"/>
      <c r="E36" s="22"/>
      <c r="F36" s="21"/>
      <c r="G36" s="22"/>
      <c r="H36" s="21"/>
      <c r="I36" s="22"/>
      <c r="J36" s="175"/>
      <c r="K36" s="19"/>
    </row>
    <row r="37" spans="1:11" x14ac:dyDescent="0.25">
      <c r="A37" s="3" t="s">
        <v>59</v>
      </c>
      <c r="B37" s="34"/>
      <c r="C37" s="22">
        <v>10000000</v>
      </c>
      <c r="D37" s="34"/>
      <c r="E37" s="22">
        <v>20000000</v>
      </c>
      <c r="F37" s="34"/>
      <c r="G37" s="35"/>
      <c r="H37" s="34"/>
      <c r="I37" s="35"/>
      <c r="J37" s="175"/>
      <c r="K37" s="19" t="s">
        <v>247</v>
      </c>
    </row>
    <row r="38" spans="1:11" x14ac:dyDescent="0.25">
      <c r="A38" s="3" t="s">
        <v>203</v>
      </c>
      <c r="B38" s="37">
        <v>60000000</v>
      </c>
      <c r="C38" s="36">
        <f>B38*J38</f>
        <v>6000000</v>
      </c>
      <c r="D38" s="37"/>
      <c r="E38" s="36"/>
      <c r="F38" s="34"/>
      <c r="G38" s="35"/>
      <c r="H38" s="34"/>
      <c r="I38" s="35"/>
      <c r="J38" s="175">
        <v>0.1</v>
      </c>
      <c r="K38" s="19" t="s">
        <v>192</v>
      </c>
    </row>
    <row r="39" spans="1:11" x14ac:dyDescent="0.25">
      <c r="A39" s="3" t="s">
        <v>60</v>
      </c>
      <c r="B39" s="34"/>
      <c r="C39" s="35"/>
      <c r="D39" s="34"/>
      <c r="E39" s="36">
        <v>20000000</v>
      </c>
      <c r="F39" s="34"/>
      <c r="G39" s="36">
        <v>25000000</v>
      </c>
      <c r="H39" s="34"/>
      <c r="I39" s="35"/>
      <c r="J39" s="175"/>
      <c r="K39" s="19" t="s">
        <v>248</v>
      </c>
    </row>
    <row r="40" spans="1:11" x14ac:dyDescent="0.25">
      <c r="A40" s="3" t="s">
        <v>61</v>
      </c>
      <c r="B40" s="34"/>
      <c r="C40" s="35"/>
      <c r="D40" s="34"/>
      <c r="E40" s="36"/>
      <c r="F40" s="34"/>
      <c r="G40" s="35"/>
      <c r="H40" s="34"/>
      <c r="I40" s="36">
        <v>25000000</v>
      </c>
      <c r="J40" s="175"/>
      <c r="K40" s="19" t="s">
        <v>249</v>
      </c>
    </row>
    <row r="41" spans="1:11" x14ac:dyDescent="0.25">
      <c r="A41" s="3" t="s">
        <v>2</v>
      </c>
      <c r="B41" s="37">
        <v>6000000</v>
      </c>
      <c r="C41" s="35"/>
      <c r="D41" s="37">
        <v>8000000</v>
      </c>
      <c r="E41" s="36"/>
      <c r="F41" s="34"/>
      <c r="G41" s="35"/>
      <c r="H41" s="34"/>
      <c r="I41" s="35"/>
      <c r="J41" s="175"/>
      <c r="K41" s="19" t="s">
        <v>250</v>
      </c>
    </row>
    <row r="42" spans="1:11" x14ac:dyDescent="0.25">
      <c r="A42" s="3" t="s">
        <v>215</v>
      </c>
      <c r="B42" s="34"/>
      <c r="C42" s="36">
        <v>5000000</v>
      </c>
      <c r="D42" s="34"/>
      <c r="E42" s="36">
        <v>15000000</v>
      </c>
      <c r="F42" s="34"/>
      <c r="G42" s="36">
        <v>10000000</v>
      </c>
      <c r="H42" s="34"/>
      <c r="I42" s="36">
        <v>10000000</v>
      </c>
      <c r="J42" s="175"/>
      <c r="K42" s="19" t="s">
        <v>219</v>
      </c>
    </row>
    <row r="43" spans="1:11" ht="15.75" thickBot="1" x14ac:dyDescent="0.3">
      <c r="A43" s="10" t="s">
        <v>50</v>
      </c>
      <c r="B43" s="32">
        <f t="shared" ref="B43:I43" si="2">SUM(B37:B42)</f>
        <v>66000000</v>
      </c>
      <c r="C43" s="33">
        <f t="shared" si="2"/>
        <v>21000000</v>
      </c>
      <c r="D43" s="32">
        <f t="shared" si="2"/>
        <v>8000000</v>
      </c>
      <c r="E43" s="33">
        <f t="shared" si="2"/>
        <v>55000000</v>
      </c>
      <c r="F43" s="32">
        <f t="shared" si="2"/>
        <v>0</v>
      </c>
      <c r="G43" s="33">
        <f t="shared" si="2"/>
        <v>35000000</v>
      </c>
      <c r="H43" s="32">
        <f t="shared" si="2"/>
        <v>0</v>
      </c>
      <c r="I43" s="33">
        <f t="shared" si="2"/>
        <v>35000000</v>
      </c>
      <c r="J43" s="178"/>
      <c r="K43" s="19"/>
    </row>
    <row r="44" spans="1:11" ht="15.75" thickTop="1" x14ac:dyDescent="0.25">
      <c r="A44" s="14"/>
      <c r="B44" s="34"/>
      <c r="C44" s="35"/>
      <c r="D44" s="34"/>
      <c r="E44" s="35"/>
      <c r="F44" s="34"/>
      <c r="G44" s="35"/>
      <c r="H44" s="34"/>
      <c r="I44" s="35"/>
      <c r="J44" s="178"/>
      <c r="K44" s="19"/>
    </row>
    <row r="45" spans="1:11" ht="18.75" x14ac:dyDescent="0.25">
      <c r="A45" s="11" t="s">
        <v>16</v>
      </c>
      <c r="B45" s="34"/>
      <c r="C45" s="35"/>
      <c r="D45" s="34"/>
      <c r="E45" s="35"/>
      <c r="F45" s="34"/>
      <c r="G45" s="35"/>
      <c r="H45" s="34"/>
      <c r="I45" s="35"/>
      <c r="J45" s="178"/>
      <c r="K45" s="19" t="s">
        <v>0</v>
      </c>
    </row>
    <row r="46" spans="1:11" x14ac:dyDescent="0.25">
      <c r="A46" s="3" t="s">
        <v>221</v>
      </c>
      <c r="B46" s="37">
        <v>2000000</v>
      </c>
      <c r="C46" s="36">
        <v>5000000</v>
      </c>
      <c r="D46" s="37">
        <v>4000000</v>
      </c>
      <c r="E46" s="36">
        <v>5000000</v>
      </c>
      <c r="F46" s="37">
        <v>4000000</v>
      </c>
      <c r="G46" s="36">
        <v>5000000</v>
      </c>
      <c r="H46" s="34"/>
      <c r="I46" s="35"/>
      <c r="J46" s="178"/>
      <c r="K46" s="19" t="s">
        <v>238</v>
      </c>
    </row>
    <row r="47" spans="1:11" x14ac:dyDescent="0.25">
      <c r="A47" s="3" t="s">
        <v>237</v>
      </c>
      <c r="B47" s="37">
        <v>5000000</v>
      </c>
      <c r="C47" s="36"/>
      <c r="D47" s="37">
        <v>5000000</v>
      </c>
      <c r="E47" s="36"/>
      <c r="F47" s="37">
        <v>5000000</v>
      </c>
      <c r="G47" s="36"/>
      <c r="H47" s="37">
        <v>5000000</v>
      </c>
      <c r="I47" s="35"/>
      <c r="J47" s="178"/>
      <c r="K47" s="19" t="s">
        <v>251</v>
      </c>
    </row>
    <row r="48" spans="1:11" x14ac:dyDescent="0.25">
      <c r="A48" s="3" t="s">
        <v>313</v>
      </c>
      <c r="B48" s="37">
        <v>15000000</v>
      </c>
      <c r="C48" s="36"/>
      <c r="D48" s="37"/>
      <c r="E48" s="36"/>
      <c r="F48" s="37"/>
      <c r="G48" s="36"/>
      <c r="H48" s="37"/>
      <c r="I48" s="35"/>
      <c r="J48" s="178"/>
      <c r="K48" s="19"/>
    </row>
    <row r="49" spans="1:17" x14ac:dyDescent="0.25">
      <c r="A49" s="3" t="s">
        <v>16</v>
      </c>
      <c r="B49" s="37">
        <v>3000000</v>
      </c>
      <c r="C49" s="36">
        <v>1000000</v>
      </c>
      <c r="D49" s="37">
        <v>3000000</v>
      </c>
      <c r="E49" s="36">
        <v>1000000</v>
      </c>
      <c r="F49" s="37">
        <v>3000000</v>
      </c>
      <c r="G49" s="36">
        <v>1000000</v>
      </c>
      <c r="H49" s="37">
        <v>5000000</v>
      </c>
      <c r="I49" s="36">
        <v>1000000</v>
      </c>
      <c r="J49" s="179"/>
      <c r="K49" s="19"/>
    </row>
    <row r="50" spans="1:17" ht="15.75" thickBot="1" x14ac:dyDescent="0.3">
      <c r="A50" s="10" t="s">
        <v>50</v>
      </c>
      <c r="B50" s="32">
        <f>SUM(B46:B49)</f>
        <v>25000000</v>
      </c>
      <c r="C50" s="33">
        <f>C46+C49</f>
        <v>6000000</v>
      </c>
      <c r="D50" s="32">
        <f>SUM(D46:D49)</f>
        <v>12000000</v>
      </c>
      <c r="E50" s="33">
        <f>E46+E49</f>
        <v>6000000</v>
      </c>
      <c r="F50" s="32">
        <f>SUM(F46:F49)</f>
        <v>12000000</v>
      </c>
      <c r="G50" s="33">
        <f>G46+G49</f>
        <v>6000000</v>
      </c>
      <c r="H50" s="32">
        <f>SUM(H46:H49)</f>
        <v>10000000</v>
      </c>
      <c r="I50" s="33">
        <f>I46+I49</f>
        <v>1000000</v>
      </c>
      <c r="J50" s="178"/>
      <c r="K50" s="19"/>
    </row>
    <row r="51" spans="1:17" ht="15.75" thickTop="1" x14ac:dyDescent="0.25">
      <c r="A51" s="14" t="s">
        <v>0</v>
      </c>
      <c r="B51" s="34"/>
      <c r="C51" s="35"/>
      <c r="D51" s="34"/>
      <c r="E51" s="35"/>
      <c r="F51" s="34"/>
      <c r="G51" s="35"/>
      <c r="H51" s="34"/>
      <c r="I51" s="35"/>
      <c r="J51" s="178"/>
      <c r="K51" s="19"/>
    </row>
    <row r="52" spans="1:17" ht="15.75" thickBot="1" x14ac:dyDescent="0.3">
      <c r="A52" s="4"/>
      <c r="B52" s="21"/>
      <c r="C52" s="22"/>
      <c r="D52" s="21"/>
      <c r="E52" s="22"/>
      <c r="F52" s="21"/>
      <c r="G52" s="22"/>
      <c r="H52" s="21"/>
      <c r="I52" s="22"/>
      <c r="J52" s="20"/>
      <c r="K52" s="12"/>
    </row>
    <row r="53" spans="1:17" ht="19.5" thickBot="1" x14ac:dyDescent="0.3">
      <c r="A53" s="7" t="s">
        <v>1</v>
      </c>
      <c r="B53" s="25">
        <f t="shared" ref="B53:I53" si="3">B14+B26+B33+B43+B50</f>
        <v>597000000</v>
      </c>
      <c r="C53" s="26">
        <f t="shared" si="3"/>
        <v>95650000</v>
      </c>
      <c r="D53" s="25">
        <f t="shared" si="3"/>
        <v>724000000</v>
      </c>
      <c r="E53" s="26">
        <f t="shared" si="3"/>
        <v>115650000</v>
      </c>
      <c r="F53" s="25">
        <f t="shared" si="3"/>
        <v>376000000</v>
      </c>
      <c r="G53" s="26">
        <f t="shared" si="3"/>
        <v>96400000</v>
      </c>
      <c r="H53" s="186">
        <f t="shared" si="3"/>
        <v>180000000</v>
      </c>
      <c r="I53" s="26">
        <f t="shared" si="3"/>
        <v>73500000</v>
      </c>
      <c r="J53" s="26"/>
      <c r="K53" s="8"/>
      <c r="Q53" s="6" t="s">
        <v>18</v>
      </c>
    </row>
    <row r="54" spans="1:17" ht="18.75" x14ac:dyDescent="0.25">
      <c r="A54" s="9"/>
      <c r="B54" s="9"/>
      <c r="C54" s="9"/>
      <c r="D54" s="9"/>
      <c r="E54" s="9"/>
      <c r="F54" s="9"/>
      <c r="G54" s="9"/>
      <c r="H54" s="9"/>
      <c r="I54" s="9"/>
      <c r="J54" s="9"/>
    </row>
    <row r="55" spans="1:17" x14ac:dyDescent="0.25">
      <c r="A55" s="188"/>
      <c r="B55" s="189"/>
    </row>
    <row r="58" spans="1:17" x14ac:dyDescent="0.25">
      <c r="P58" s="6" t="s">
        <v>0</v>
      </c>
    </row>
  </sheetData>
  <mergeCells count="5">
    <mergeCell ref="A2:K2"/>
    <mergeCell ref="B3:C3"/>
    <mergeCell ref="D3:E3"/>
    <mergeCell ref="F3:G3"/>
    <mergeCell ref="H3:I3"/>
  </mergeCells>
  <pageMargins left="0.7" right="0.7" top="0.75" bottom="0.75" header="0.3" footer="0.3"/>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P64"/>
  <sheetViews>
    <sheetView showGridLines="0" workbookViewId="0">
      <pane ySplit="6" topLeftCell="A7" activePane="bottomLeft" state="frozen"/>
      <selection pane="bottomLeft" activeCell="B65" sqref="B65"/>
    </sheetView>
  </sheetViews>
  <sheetFormatPr defaultRowHeight="15" x14ac:dyDescent="0.25"/>
  <cols>
    <col min="1" max="1" width="4.28515625" customWidth="1"/>
    <col min="2" max="2" width="83" bestFit="1" customWidth="1"/>
    <col min="3" max="3" width="7.140625" customWidth="1"/>
    <col min="4" max="4" width="6.42578125" customWidth="1"/>
    <col min="5" max="5" width="6.5703125" customWidth="1"/>
    <col min="6" max="6" width="6.42578125" customWidth="1"/>
    <col min="7" max="7" width="6.28515625" customWidth="1"/>
    <col min="8" max="8" width="5.42578125" customWidth="1"/>
    <col min="9" max="9" width="5.5703125" customWidth="1"/>
    <col min="10" max="10" width="5.42578125" customWidth="1"/>
    <col min="11" max="11" width="5.85546875" customWidth="1"/>
    <col min="12" max="14" width="5.5703125" customWidth="1"/>
    <col min="15" max="15" width="5.7109375" customWidth="1"/>
  </cols>
  <sheetData>
    <row r="1" spans="2:15" x14ac:dyDescent="0.25">
      <c r="B1" s="166">
        <v>42695</v>
      </c>
      <c r="C1" s="158"/>
      <c r="D1" s="158"/>
      <c r="E1" s="158"/>
      <c r="F1" s="158"/>
      <c r="G1" s="158"/>
      <c r="H1" s="158"/>
      <c r="I1" s="158"/>
      <c r="J1" s="158"/>
      <c r="K1" s="158"/>
      <c r="L1" s="158"/>
      <c r="M1" s="158"/>
      <c r="N1" s="158"/>
      <c r="O1" s="183"/>
    </row>
    <row r="2" spans="2:15" x14ac:dyDescent="0.25">
      <c r="B2" s="159"/>
      <c r="C2" s="160"/>
      <c r="D2" s="160"/>
      <c r="E2" s="160"/>
      <c r="F2" s="160"/>
      <c r="G2" s="160"/>
      <c r="H2" s="160"/>
      <c r="I2" s="160"/>
      <c r="J2" s="160"/>
      <c r="K2" s="160"/>
      <c r="L2" s="160"/>
      <c r="M2" s="160"/>
      <c r="N2" s="160"/>
      <c r="O2" s="184"/>
    </row>
    <row r="3" spans="2:15" ht="18.75" x14ac:dyDescent="0.3">
      <c r="B3" s="235" t="s">
        <v>274</v>
      </c>
      <c r="C3" s="236"/>
      <c r="D3" s="236"/>
      <c r="E3" s="236"/>
      <c r="F3" s="236"/>
      <c r="G3" s="236"/>
      <c r="H3" s="236"/>
      <c r="I3" s="236"/>
      <c r="J3" s="236"/>
      <c r="K3" s="236"/>
      <c r="L3" s="236"/>
      <c r="M3" s="236"/>
      <c r="N3" s="236"/>
      <c r="O3" s="237"/>
    </row>
    <row r="4" spans="2:15" ht="15.75" thickBot="1" x14ac:dyDescent="0.3">
      <c r="B4" s="159"/>
      <c r="C4" s="160"/>
      <c r="D4" s="160"/>
      <c r="E4" s="160"/>
      <c r="F4" s="160"/>
      <c r="G4" s="160"/>
      <c r="H4" s="160"/>
      <c r="I4" s="160"/>
      <c r="J4" s="160"/>
      <c r="K4" s="160"/>
      <c r="L4" s="160"/>
      <c r="M4" s="160"/>
      <c r="N4" s="160"/>
      <c r="O4" s="184"/>
    </row>
    <row r="5" spans="2:15" ht="15.75" x14ac:dyDescent="0.25">
      <c r="B5" s="244" t="s">
        <v>252</v>
      </c>
      <c r="C5" s="222">
        <v>2016</v>
      </c>
      <c r="D5" s="242">
        <v>2017</v>
      </c>
      <c r="E5" s="242"/>
      <c r="F5" s="242"/>
      <c r="G5" s="242"/>
      <c r="H5" s="242"/>
      <c r="I5" s="242"/>
      <c r="J5" s="242"/>
      <c r="K5" s="242"/>
      <c r="L5" s="242"/>
      <c r="M5" s="242"/>
      <c r="N5" s="242"/>
      <c r="O5" s="243"/>
    </row>
    <row r="6" spans="2:15" x14ac:dyDescent="0.25">
      <c r="B6" s="245"/>
      <c r="C6" s="209" t="s">
        <v>253</v>
      </c>
      <c r="D6" s="220" t="s">
        <v>254</v>
      </c>
      <c r="E6" s="220" t="s">
        <v>255</v>
      </c>
      <c r="F6" s="220" t="s">
        <v>256</v>
      </c>
      <c r="G6" s="220" t="s">
        <v>257</v>
      </c>
      <c r="H6" s="220" t="s">
        <v>258</v>
      </c>
      <c r="I6" s="220" t="s">
        <v>259</v>
      </c>
      <c r="J6" s="220" t="s">
        <v>260</v>
      </c>
      <c r="K6" s="220" t="s">
        <v>261</v>
      </c>
      <c r="L6" s="220" t="s">
        <v>262</v>
      </c>
      <c r="M6" s="220" t="s">
        <v>263</v>
      </c>
      <c r="N6" s="220" t="s">
        <v>264</v>
      </c>
      <c r="O6" s="221" t="s">
        <v>253</v>
      </c>
    </row>
    <row r="7" spans="2:15" x14ac:dyDescent="0.25">
      <c r="B7" s="226" t="s">
        <v>266</v>
      </c>
      <c r="C7" s="208"/>
      <c r="D7" s="208"/>
      <c r="E7" s="208"/>
      <c r="F7" s="208"/>
      <c r="G7" s="208"/>
      <c r="H7" s="208"/>
      <c r="I7" s="208"/>
      <c r="J7" s="208"/>
      <c r="K7" s="208"/>
      <c r="L7" s="208"/>
      <c r="M7" s="208"/>
      <c r="N7" s="208"/>
      <c r="O7" s="215"/>
    </row>
    <row r="8" spans="2:15" x14ac:dyDescent="0.25">
      <c r="B8" s="214" t="s">
        <v>267</v>
      </c>
      <c r="C8" s="209"/>
      <c r="D8" s="207"/>
      <c r="E8" s="207"/>
      <c r="F8" s="207"/>
      <c r="G8" s="207"/>
      <c r="H8" s="207"/>
      <c r="I8" s="207"/>
      <c r="J8" s="207"/>
      <c r="K8" s="207"/>
      <c r="L8" s="207"/>
      <c r="M8" s="207"/>
      <c r="N8" s="207"/>
      <c r="O8" s="215"/>
    </row>
    <row r="9" spans="2:15" x14ac:dyDescent="0.25">
      <c r="B9" s="214" t="s">
        <v>270</v>
      </c>
      <c r="C9" s="209"/>
      <c r="D9" s="207"/>
      <c r="E9" s="207"/>
      <c r="F9" s="207"/>
      <c r="G9" s="207"/>
      <c r="H9" s="207"/>
      <c r="I9" s="207"/>
      <c r="J9" s="207"/>
      <c r="K9" s="207"/>
      <c r="L9" s="207"/>
      <c r="M9" s="207"/>
      <c r="N9" s="207"/>
      <c r="O9" s="215"/>
    </row>
    <row r="10" spans="2:15" x14ac:dyDescent="0.25">
      <c r="B10" s="227" t="s">
        <v>268</v>
      </c>
      <c r="C10" s="225"/>
      <c r="D10" s="207"/>
      <c r="E10" s="207"/>
      <c r="F10" s="207"/>
      <c r="G10" s="207"/>
      <c r="H10" s="207"/>
      <c r="I10" s="207"/>
      <c r="J10" s="207"/>
      <c r="K10" s="207"/>
      <c r="L10" s="207"/>
      <c r="M10" s="207"/>
      <c r="N10" s="207"/>
      <c r="O10" s="215"/>
    </row>
    <row r="11" spans="2:15" x14ac:dyDescent="0.25">
      <c r="B11" s="214" t="s">
        <v>269</v>
      </c>
      <c r="C11" s="208"/>
      <c r="D11" s="210"/>
      <c r="E11" s="207"/>
      <c r="F11" s="207"/>
      <c r="G11" s="207"/>
      <c r="H11" s="207"/>
      <c r="I11" s="207"/>
      <c r="J11" s="207"/>
      <c r="K11" s="207"/>
      <c r="L11" s="207"/>
      <c r="M11" s="207"/>
      <c r="N11" s="207"/>
      <c r="O11" s="215"/>
    </row>
    <row r="12" spans="2:15" x14ac:dyDescent="0.25">
      <c r="B12" s="214" t="s">
        <v>271</v>
      </c>
      <c r="C12" s="207"/>
      <c r="D12" s="207"/>
      <c r="E12" s="207"/>
      <c r="F12" s="210"/>
      <c r="G12" s="207"/>
      <c r="H12" s="207"/>
      <c r="I12" s="207"/>
      <c r="J12" s="207"/>
      <c r="K12" s="207"/>
      <c r="L12" s="207"/>
      <c r="M12" s="207"/>
      <c r="N12" s="207"/>
      <c r="O12" s="215"/>
    </row>
    <row r="13" spans="2:15" x14ac:dyDescent="0.25">
      <c r="B13" s="214" t="s">
        <v>272</v>
      </c>
      <c r="C13" s="208"/>
      <c r="D13" s="208"/>
      <c r="E13" s="208"/>
      <c r="F13" s="210"/>
      <c r="G13" s="210"/>
      <c r="H13" s="210"/>
      <c r="I13" s="210"/>
      <c r="J13" s="210"/>
      <c r="K13" s="210"/>
      <c r="L13" s="207"/>
      <c r="M13" s="207"/>
      <c r="N13" s="207"/>
      <c r="O13" s="215"/>
    </row>
    <row r="14" spans="2:15" ht="15.75" thickBot="1" x14ac:dyDescent="0.3">
      <c r="B14" s="217" t="s">
        <v>273</v>
      </c>
      <c r="C14" s="218"/>
      <c r="D14" s="218"/>
      <c r="E14" s="218"/>
      <c r="F14" s="218"/>
      <c r="G14" s="218"/>
      <c r="H14" s="218"/>
      <c r="I14" s="218"/>
      <c r="J14" s="218"/>
      <c r="K14" s="223"/>
      <c r="L14" s="218"/>
      <c r="M14" s="218"/>
      <c r="N14" s="218"/>
      <c r="O14" s="219"/>
    </row>
    <row r="15" spans="2:15" x14ac:dyDescent="0.25">
      <c r="B15" s="144"/>
      <c r="C15" s="228"/>
      <c r="D15" s="228"/>
      <c r="E15" s="228"/>
      <c r="F15" s="228"/>
      <c r="G15" s="228"/>
      <c r="H15" s="228"/>
      <c r="I15" s="228"/>
      <c r="J15" s="228"/>
      <c r="K15" s="228"/>
      <c r="L15" s="228"/>
      <c r="M15" s="228"/>
      <c r="N15" s="228"/>
      <c r="O15" s="144"/>
    </row>
    <row r="16" spans="2:15" ht="15.75" thickBot="1" x14ac:dyDescent="0.3">
      <c r="B16" s="147"/>
      <c r="C16" s="229"/>
      <c r="D16" s="229"/>
      <c r="E16" s="229"/>
      <c r="F16" s="229"/>
      <c r="G16" s="229"/>
      <c r="H16" s="229"/>
      <c r="I16" s="229"/>
      <c r="J16" s="229"/>
      <c r="K16" s="229"/>
      <c r="L16" s="229"/>
      <c r="M16" s="229"/>
      <c r="N16" s="229"/>
      <c r="O16" s="147"/>
    </row>
    <row r="17" spans="2:15" x14ac:dyDescent="0.25">
      <c r="B17" s="211" t="s">
        <v>275</v>
      </c>
      <c r="C17" s="212"/>
      <c r="D17" s="212"/>
      <c r="E17" s="212"/>
      <c r="F17" s="212"/>
      <c r="G17" s="212"/>
      <c r="H17" s="212"/>
      <c r="I17" s="212"/>
      <c r="J17" s="212"/>
      <c r="K17" s="212"/>
      <c r="L17" s="212"/>
      <c r="M17" s="212"/>
      <c r="N17" s="212"/>
      <c r="O17" s="213"/>
    </row>
    <row r="18" spans="2:15" x14ac:dyDescent="0.25">
      <c r="B18" s="214" t="s">
        <v>276</v>
      </c>
      <c r="C18" s="207"/>
      <c r="D18" s="207"/>
      <c r="E18" s="207"/>
      <c r="F18" s="207"/>
      <c r="G18" s="207"/>
      <c r="H18" s="207"/>
      <c r="I18" s="207"/>
      <c r="J18" s="207"/>
      <c r="K18" s="207"/>
      <c r="L18" s="207"/>
      <c r="M18" s="207"/>
      <c r="N18" s="207"/>
      <c r="O18" s="215"/>
    </row>
    <row r="19" spans="2:15" x14ac:dyDescent="0.25">
      <c r="B19" s="214" t="s">
        <v>272</v>
      </c>
      <c r="C19" s="209"/>
      <c r="D19" s="210"/>
      <c r="E19" s="210"/>
      <c r="F19" s="210"/>
      <c r="G19" s="210"/>
      <c r="H19" s="210"/>
      <c r="I19" s="207"/>
      <c r="J19" s="207"/>
      <c r="K19" s="207"/>
      <c r="L19" s="207"/>
      <c r="M19" s="207"/>
      <c r="N19" s="207"/>
      <c r="O19" s="215"/>
    </row>
    <row r="20" spans="2:15" ht="15.75" thickBot="1" x14ac:dyDescent="0.3">
      <c r="B20" s="217" t="s">
        <v>273</v>
      </c>
      <c r="C20" s="218"/>
      <c r="D20" s="218"/>
      <c r="E20" s="218"/>
      <c r="F20" s="218"/>
      <c r="G20" s="218"/>
      <c r="H20" s="224"/>
      <c r="I20" s="223"/>
      <c r="J20" s="218"/>
      <c r="K20" s="218"/>
      <c r="L20" s="218"/>
      <c r="M20" s="218"/>
      <c r="N20" s="218"/>
      <c r="O20" s="219"/>
    </row>
    <row r="21" spans="2:15" x14ac:dyDescent="0.25">
      <c r="B21" s="144"/>
      <c r="C21" s="63"/>
      <c r="D21" s="63"/>
      <c r="E21" s="63"/>
      <c r="F21" s="63"/>
      <c r="G21" s="63"/>
      <c r="H21" s="63"/>
      <c r="I21" s="63"/>
      <c r="J21" s="63"/>
      <c r="K21" s="63"/>
      <c r="L21" s="63"/>
      <c r="M21" s="63"/>
      <c r="N21" s="63"/>
      <c r="O21" s="144"/>
    </row>
    <row r="22" spans="2:15" ht="15.75" thickBot="1" x14ac:dyDescent="0.3">
      <c r="B22" s="147"/>
      <c r="C22" s="63"/>
      <c r="D22" s="63"/>
      <c r="E22" s="63"/>
      <c r="F22" s="63"/>
      <c r="G22" s="63"/>
      <c r="H22" s="63"/>
      <c r="I22" s="63"/>
      <c r="J22" s="63"/>
      <c r="K22" s="63"/>
      <c r="L22" s="63"/>
      <c r="M22" s="63"/>
      <c r="N22" s="63"/>
      <c r="O22" s="147"/>
    </row>
    <row r="23" spans="2:15" x14ac:dyDescent="0.25">
      <c r="B23" s="211" t="s">
        <v>277</v>
      </c>
      <c r="C23" s="212"/>
      <c r="D23" s="212"/>
      <c r="E23" s="212"/>
      <c r="F23" s="212"/>
      <c r="G23" s="212"/>
      <c r="H23" s="212"/>
      <c r="I23" s="212"/>
      <c r="J23" s="212"/>
      <c r="K23" s="212"/>
      <c r="L23" s="212"/>
      <c r="M23" s="212"/>
      <c r="N23" s="212"/>
      <c r="O23" s="213"/>
    </row>
    <row r="24" spans="2:15" x14ac:dyDescent="0.25">
      <c r="B24" s="214" t="s">
        <v>278</v>
      </c>
      <c r="C24" s="209"/>
      <c r="D24" s="210"/>
      <c r="E24" s="207"/>
      <c r="F24" s="207"/>
      <c r="G24" s="207"/>
      <c r="H24" s="207"/>
      <c r="I24" s="207"/>
      <c r="J24" s="207"/>
      <c r="K24" s="207"/>
      <c r="L24" s="207"/>
      <c r="M24" s="207"/>
      <c r="N24" s="207"/>
      <c r="O24" s="215"/>
    </row>
    <row r="25" spans="2:15" x14ac:dyDescent="0.25">
      <c r="B25" s="214" t="s">
        <v>279</v>
      </c>
      <c r="C25" s="207"/>
      <c r="D25" s="207"/>
      <c r="E25" s="210"/>
      <c r="F25" s="210"/>
      <c r="G25" s="210"/>
      <c r="H25" s="210"/>
      <c r="I25" s="210"/>
      <c r="J25" s="207"/>
      <c r="K25" s="207"/>
      <c r="L25" s="207"/>
      <c r="M25" s="207"/>
      <c r="N25" s="207"/>
      <c r="O25" s="215"/>
    </row>
    <row r="26" spans="2:15" x14ac:dyDescent="0.25">
      <c r="B26" s="214" t="s">
        <v>280</v>
      </c>
      <c r="C26" s="207"/>
      <c r="D26" s="207"/>
      <c r="E26" s="207"/>
      <c r="F26" s="210"/>
      <c r="G26" s="207"/>
      <c r="H26" s="207"/>
      <c r="I26" s="207"/>
      <c r="J26" s="207"/>
      <c r="K26" s="207"/>
      <c r="L26" s="207"/>
      <c r="M26" s="207"/>
      <c r="N26" s="207"/>
      <c r="O26" s="215"/>
    </row>
    <row r="27" spans="2:15" x14ac:dyDescent="0.25">
      <c r="B27" s="214" t="s">
        <v>281</v>
      </c>
      <c r="C27" s="207"/>
      <c r="D27" s="207"/>
      <c r="E27" s="207"/>
      <c r="F27" s="207"/>
      <c r="G27" s="210"/>
      <c r="H27" s="208"/>
      <c r="I27" s="208"/>
      <c r="J27" s="208"/>
      <c r="K27" s="208"/>
      <c r="L27" s="207"/>
      <c r="M27" s="207"/>
      <c r="N27" s="207"/>
      <c r="O27" s="215"/>
    </row>
    <row r="28" spans="2:15" x14ac:dyDescent="0.25">
      <c r="B28" s="214" t="s">
        <v>282</v>
      </c>
      <c r="C28" s="207"/>
      <c r="D28" s="207"/>
      <c r="E28" s="207"/>
      <c r="F28" s="207"/>
      <c r="G28" s="210"/>
      <c r="H28" s="210"/>
      <c r="I28" s="210"/>
      <c r="J28" s="210"/>
      <c r="K28" s="210"/>
      <c r="L28" s="207"/>
      <c r="M28" s="207"/>
      <c r="N28" s="207"/>
      <c r="O28" s="215"/>
    </row>
    <row r="29" spans="2:15" x14ac:dyDescent="0.25">
      <c r="B29" s="214" t="s">
        <v>283</v>
      </c>
      <c r="C29" s="207"/>
      <c r="D29" s="207"/>
      <c r="E29" s="207"/>
      <c r="F29" s="207"/>
      <c r="G29" s="207"/>
      <c r="H29" s="207"/>
      <c r="I29" s="207"/>
      <c r="J29" s="207"/>
      <c r="K29" s="210"/>
      <c r="L29" s="207"/>
      <c r="M29" s="207"/>
      <c r="N29" s="207"/>
      <c r="O29" s="215"/>
    </row>
    <row r="30" spans="2:15" x14ac:dyDescent="0.25">
      <c r="B30" s="214" t="s">
        <v>284</v>
      </c>
      <c r="C30" s="207"/>
      <c r="D30" s="207"/>
      <c r="E30" s="207"/>
      <c r="F30" s="207"/>
      <c r="G30" s="207"/>
      <c r="H30" s="207"/>
      <c r="I30" s="207"/>
      <c r="J30" s="207"/>
      <c r="K30" s="207"/>
      <c r="L30" s="210"/>
      <c r="M30" s="207"/>
      <c r="N30" s="207"/>
      <c r="O30" s="215"/>
    </row>
    <row r="31" spans="2:15" x14ac:dyDescent="0.25">
      <c r="B31" s="214" t="s">
        <v>269</v>
      </c>
      <c r="C31" s="207"/>
      <c r="D31" s="207"/>
      <c r="E31" s="207"/>
      <c r="F31" s="207"/>
      <c r="G31" s="207"/>
      <c r="H31" s="207"/>
      <c r="I31" s="207"/>
      <c r="J31" s="207"/>
      <c r="K31" s="207"/>
      <c r="L31" s="207"/>
      <c r="M31" s="210"/>
      <c r="N31" s="207"/>
      <c r="O31" s="215"/>
    </row>
    <row r="32" spans="2:15" x14ac:dyDescent="0.25">
      <c r="B32" s="214" t="s">
        <v>271</v>
      </c>
      <c r="C32" s="207"/>
      <c r="D32" s="207"/>
      <c r="E32" s="207"/>
      <c r="F32" s="207"/>
      <c r="G32" s="207"/>
      <c r="H32" s="207"/>
      <c r="I32" s="207"/>
      <c r="J32" s="207"/>
      <c r="K32" s="207"/>
      <c r="L32" s="207"/>
      <c r="M32" s="210"/>
      <c r="N32" s="207"/>
      <c r="O32" s="215"/>
    </row>
    <row r="33" spans="2:15" x14ac:dyDescent="0.25">
      <c r="B33" s="214" t="s">
        <v>272</v>
      </c>
      <c r="C33" s="207"/>
      <c r="D33" s="207"/>
      <c r="E33" s="207"/>
      <c r="F33" s="207"/>
      <c r="G33" s="207"/>
      <c r="H33" s="207"/>
      <c r="I33" s="207"/>
      <c r="J33" s="207"/>
      <c r="K33" s="207"/>
      <c r="L33" s="207"/>
      <c r="M33" s="210"/>
      <c r="N33" s="210"/>
      <c r="O33" s="216"/>
    </row>
    <row r="34" spans="2:15" ht="15.75" thickBot="1" x14ac:dyDescent="0.3">
      <c r="B34" s="217" t="s">
        <v>285</v>
      </c>
      <c r="C34" s="218"/>
      <c r="D34" s="218"/>
      <c r="E34" s="218"/>
      <c r="F34" s="218"/>
      <c r="G34" s="218"/>
      <c r="H34" s="218"/>
      <c r="I34" s="218"/>
      <c r="J34" s="218"/>
      <c r="K34" s="218"/>
      <c r="L34" s="218"/>
      <c r="M34" s="218"/>
      <c r="N34" s="218"/>
      <c r="O34" s="219"/>
    </row>
    <row r="35" spans="2:15" x14ac:dyDescent="0.25">
      <c r="B35" s="144"/>
      <c r="C35" s="63"/>
      <c r="D35" s="63"/>
      <c r="E35" s="63"/>
      <c r="F35" s="63"/>
      <c r="G35" s="63"/>
      <c r="H35" s="63"/>
      <c r="I35" s="63"/>
      <c r="J35" s="63"/>
      <c r="K35" s="63"/>
      <c r="L35" s="63"/>
      <c r="M35" s="63"/>
      <c r="N35" s="63"/>
      <c r="O35" s="144"/>
    </row>
    <row r="36" spans="2:15" ht="15.75" thickBot="1" x14ac:dyDescent="0.3">
      <c r="B36" s="147"/>
      <c r="C36" s="63"/>
      <c r="D36" s="63"/>
      <c r="E36" s="63"/>
      <c r="F36" s="63"/>
      <c r="G36" s="63"/>
      <c r="H36" s="63"/>
      <c r="I36" s="63"/>
      <c r="J36" s="63"/>
      <c r="K36" s="63"/>
      <c r="L36" s="63"/>
      <c r="M36" s="63"/>
      <c r="N36" s="63"/>
      <c r="O36" s="147"/>
    </row>
    <row r="37" spans="2:15" x14ac:dyDescent="0.25">
      <c r="B37" s="211" t="s">
        <v>286</v>
      </c>
      <c r="C37" s="212"/>
      <c r="D37" s="212"/>
      <c r="E37" s="212"/>
      <c r="F37" s="212"/>
      <c r="G37" s="212"/>
      <c r="H37" s="212"/>
      <c r="I37" s="212"/>
      <c r="J37" s="212"/>
      <c r="K37" s="212"/>
      <c r="L37" s="212"/>
      <c r="M37" s="212"/>
      <c r="N37" s="212"/>
      <c r="O37" s="213"/>
    </row>
    <row r="38" spans="2:15" x14ac:dyDescent="0.25">
      <c r="B38" s="214" t="s">
        <v>288</v>
      </c>
      <c r="C38" s="209"/>
      <c r="D38" s="207"/>
      <c r="E38" s="207"/>
      <c r="F38" s="207"/>
      <c r="G38" s="207"/>
      <c r="H38" s="207"/>
      <c r="I38" s="207"/>
      <c r="J38" s="207"/>
      <c r="K38" s="207"/>
      <c r="L38" s="207"/>
      <c r="M38" s="207"/>
      <c r="N38" s="207"/>
      <c r="O38" s="215"/>
    </row>
    <row r="39" spans="2:15" x14ac:dyDescent="0.25">
      <c r="B39" s="214" t="s">
        <v>289</v>
      </c>
      <c r="C39" s="209"/>
      <c r="D39" s="207"/>
      <c r="E39" s="207"/>
      <c r="F39" s="207"/>
      <c r="G39" s="207"/>
      <c r="H39" s="207"/>
      <c r="I39" s="207"/>
      <c r="J39" s="207"/>
      <c r="K39" s="207"/>
      <c r="L39" s="207"/>
      <c r="M39" s="207"/>
      <c r="N39" s="207"/>
      <c r="O39" s="215"/>
    </row>
    <row r="40" spans="2:15" x14ac:dyDescent="0.25">
      <c r="B40" s="214" t="s">
        <v>290</v>
      </c>
      <c r="C40" s="209"/>
      <c r="D40" s="210"/>
      <c r="E40" s="210"/>
      <c r="F40" s="208"/>
      <c r="G40" s="207"/>
      <c r="H40" s="207"/>
      <c r="I40" s="207"/>
      <c r="J40" s="207"/>
      <c r="K40" s="207"/>
      <c r="L40" s="207"/>
      <c r="M40" s="207"/>
      <c r="N40" s="207"/>
      <c r="O40" s="215"/>
    </row>
    <row r="41" spans="2:15" x14ac:dyDescent="0.25">
      <c r="B41" s="214" t="s">
        <v>291</v>
      </c>
      <c r="C41" s="209"/>
      <c r="D41" s="210"/>
      <c r="E41" s="210"/>
      <c r="F41" s="207"/>
      <c r="G41" s="207"/>
      <c r="H41" s="207"/>
      <c r="I41" s="207"/>
      <c r="J41" s="207"/>
      <c r="K41" s="207"/>
      <c r="L41" s="207"/>
      <c r="M41" s="207"/>
      <c r="N41" s="207"/>
      <c r="O41" s="215"/>
    </row>
    <row r="42" spans="2:15" x14ac:dyDescent="0.25">
      <c r="B42" s="214" t="s">
        <v>287</v>
      </c>
      <c r="C42" s="209"/>
      <c r="D42" s="210"/>
      <c r="E42" s="207"/>
      <c r="F42" s="207"/>
      <c r="G42" s="207"/>
      <c r="H42" s="207"/>
      <c r="I42" s="207"/>
      <c r="J42" s="207"/>
      <c r="K42" s="207"/>
      <c r="L42" s="207"/>
      <c r="M42" s="207"/>
      <c r="N42" s="207"/>
      <c r="O42" s="215"/>
    </row>
    <row r="43" spans="2:15" x14ac:dyDescent="0.25">
      <c r="B43" s="214" t="s">
        <v>298</v>
      </c>
      <c r="C43" s="209"/>
      <c r="D43" s="210"/>
      <c r="E43" s="207"/>
      <c r="F43" s="207"/>
      <c r="G43" s="207"/>
      <c r="H43" s="207"/>
      <c r="I43" s="207"/>
      <c r="J43" s="207"/>
      <c r="K43" s="207"/>
      <c r="L43" s="207"/>
      <c r="M43" s="207"/>
      <c r="N43" s="207"/>
      <c r="O43" s="215"/>
    </row>
    <row r="44" spans="2:15" x14ac:dyDescent="0.25">
      <c r="B44" s="214" t="s">
        <v>299</v>
      </c>
      <c r="C44" s="209"/>
      <c r="D44" s="207"/>
      <c r="E44" s="207"/>
      <c r="F44" s="207"/>
      <c r="G44" s="207"/>
      <c r="H44" s="207"/>
      <c r="I44" s="207"/>
      <c r="J44" s="207"/>
      <c r="K44" s="207"/>
      <c r="L44" s="207"/>
      <c r="M44" s="207"/>
      <c r="N44" s="207"/>
      <c r="O44" s="215"/>
    </row>
    <row r="45" spans="2:15" x14ac:dyDescent="0.25">
      <c r="B45" s="214" t="s">
        <v>303</v>
      </c>
      <c r="C45" s="207"/>
      <c r="D45" s="207"/>
      <c r="E45" s="210"/>
      <c r="F45" s="207"/>
      <c r="G45" s="207"/>
      <c r="H45" s="207"/>
      <c r="I45" s="207"/>
      <c r="J45" s="207"/>
      <c r="K45" s="207"/>
      <c r="L45" s="207"/>
      <c r="M45" s="207"/>
      <c r="N45" s="207"/>
      <c r="O45" s="215"/>
    </row>
    <row r="46" spans="2:15" x14ac:dyDescent="0.25">
      <c r="B46" s="214" t="s">
        <v>292</v>
      </c>
      <c r="C46" s="207"/>
      <c r="D46" s="207"/>
      <c r="E46" s="210"/>
      <c r="F46" s="207"/>
      <c r="G46" s="207"/>
      <c r="H46" s="207"/>
      <c r="I46" s="207"/>
      <c r="J46" s="207"/>
      <c r="K46" s="207"/>
      <c r="L46" s="207"/>
      <c r="M46" s="207"/>
      <c r="N46" s="207"/>
      <c r="O46" s="215"/>
    </row>
    <row r="47" spans="2:15" x14ac:dyDescent="0.25">
      <c r="B47" s="214" t="s">
        <v>308</v>
      </c>
      <c r="C47" s="207"/>
      <c r="D47" s="207"/>
      <c r="E47" s="210"/>
      <c r="F47" s="207"/>
      <c r="G47" s="207"/>
      <c r="H47" s="207"/>
      <c r="I47" s="207"/>
      <c r="J47" s="207"/>
      <c r="K47" s="207"/>
      <c r="L47" s="207"/>
      <c r="M47" s="207"/>
      <c r="N47" s="207"/>
      <c r="O47" s="215"/>
    </row>
    <row r="48" spans="2:15" x14ac:dyDescent="0.25">
      <c r="B48" s="214" t="s">
        <v>293</v>
      </c>
      <c r="C48" s="207"/>
      <c r="D48" s="207"/>
      <c r="E48" s="210"/>
      <c r="F48" s="207"/>
      <c r="G48" s="207"/>
      <c r="H48" s="207"/>
      <c r="I48" s="207"/>
      <c r="J48" s="207"/>
      <c r="K48" s="207"/>
      <c r="L48" s="207"/>
      <c r="M48" s="207"/>
      <c r="N48" s="207"/>
      <c r="O48" s="215"/>
    </row>
    <row r="49" spans="2:16" x14ac:dyDescent="0.25">
      <c r="B49" s="214" t="s">
        <v>294</v>
      </c>
      <c r="C49" s="207"/>
      <c r="D49" s="207"/>
      <c r="E49" s="207"/>
      <c r="F49" s="210"/>
      <c r="G49" s="210"/>
      <c r="H49" s="207"/>
      <c r="I49" s="207"/>
      <c r="J49" s="207"/>
      <c r="K49" s="207"/>
      <c r="L49" s="207"/>
      <c r="M49" s="207"/>
      <c r="N49" s="207"/>
      <c r="O49" s="215"/>
    </row>
    <row r="50" spans="2:16" x14ac:dyDescent="0.25">
      <c r="B50" s="214" t="s">
        <v>295</v>
      </c>
      <c r="C50" s="207"/>
      <c r="D50" s="207"/>
      <c r="E50" s="207"/>
      <c r="F50" s="207"/>
      <c r="G50" s="207"/>
      <c r="H50" s="210"/>
      <c r="I50" s="210"/>
      <c r="J50" s="207"/>
      <c r="K50" s="207"/>
      <c r="L50" s="207"/>
      <c r="M50" s="207"/>
      <c r="N50" s="207"/>
      <c r="O50" s="215"/>
    </row>
    <row r="51" spans="2:16" x14ac:dyDescent="0.25">
      <c r="B51" s="214" t="s">
        <v>300</v>
      </c>
      <c r="C51" s="207"/>
      <c r="D51" s="207"/>
      <c r="E51" s="207"/>
      <c r="F51" s="207"/>
      <c r="G51" s="207"/>
      <c r="H51" s="207"/>
      <c r="I51" s="210"/>
      <c r="J51" s="208"/>
      <c r="K51" s="207"/>
      <c r="L51" s="207"/>
      <c r="M51" s="207"/>
      <c r="N51" s="207"/>
      <c r="O51" s="215"/>
    </row>
    <row r="52" spans="2:16" x14ac:dyDescent="0.25">
      <c r="B52" s="214" t="s">
        <v>301</v>
      </c>
      <c r="C52" s="209"/>
      <c r="D52" s="210"/>
      <c r="E52" s="207"/>
      <c r="F52" s="207"/>
      <c r="G52" s="207"/>
      <c r="H52" s="207"/>
      <c r="I52" s="207"/>
      <c r="J52" s="207"/>
      <c r="K52" s="207"/>
      <c r="L52" s="207"/>
      <c r="M52" s="207"/>
      <c r="N52" s="207"/>
      <c r="O52" s="215"/>
    </row>
    <row r="53" spans="2:16" x14ac:dyDescent="0.25">
      <c r="B53" s="214" t="s">
        <v>302</v>
      </c>
      <c r="C53" s="207"/>
      <c r="D53" s="207"/>
      <c r="E53" s="210"/>
      <c r="F53" s="207"/>
      <c r="G53" s="207"/>
      <c r="H53" s="207"/>
      <c r="I53" s="207"/>
      <c r="J53" s="207"/>
      <c r="K53" s="207"/>
      <c r="L53" s="207"/>
      <c r="M53" s="207"/>
      <c r="N53" s="207"/>
      <c r="O53" s="215"/>
    </row>
    <row r="54" spans="2:16" x14ac:dyDescent="0.25">
      <c r="B54" s="214" t="s">
        <v>296</v>
      </c>
      <c r="C54" s="207"/>
      <c r="D54" s="207"/>
      <c r="E54" s="207"/>
      <c r="F54" s="210"/>
      <c r="G54" s="207"/>
      <c r="H54" s="207"/>
      <c r="I54" s="207"/>
      <c r="J54" s="207"/>
      <c r="K54" s="207"/>
      <c r="L54" s="207"/>
      <c r="M54" s="207"/>
      <c r="N54" s="207"/>
      <c r="O54" s="215"/>
    </row>
    <row r="55" spans="2:16" ht="15.75" thickBot="1" x14ac:dyDescent="0.3">
      <c r="B55" s="217" t="s">
        <v>297</v>
      </c>
      <c r="C55" s="218"/>
      <c r="D55" s="218"/>
      <c r="E55" s="218"/>
      <c r="F55" s="218"/>
      <c r="G55" s="218"/>
      <c r="H55" s="218"/>
      <c r="I55" s="223"/>
      <c r="J55" s="224"/>
      <c r="K55" s="218"/>
      <c r="L55" s="218"/>
      <c r="M55" s="218"/>
      <c r="N55" s="218"/>
      <c r="O55" s="219"/>
    </row>
    <row r="56" spans="2:16" x14ac:dyDescent="0.25">
      <c r="B56" s="74"/>
      <c r="C56" s="63"/>
      <c r="D56" s="63"/>
      <c r="E56" s="63"/>
      <c r="F56" s="63"/>
      <c r="G56" s="63"/>
      <c r="H56" s="63"/>
      <c r="I56" s="63"/>
      <c r="J56" s="63"/>
      <c r="K56" s="63"/>
      <c r="L56" s="63"/>
      <c r="M56" s="63"/>
      <c r="N56" s="63"/>
      <c r="O56" s="74"/>
      <c r="P56" s="74"/>
    </row>
    <row r="57" spans="2:16" ht="15.75" thickBot="1" x14ac:dyDescent="0.3">
      <c r="B57" s="74"/>
      <c r="C57" s="63"/>
      <c r="D57" s="63"/>
      <c r="E57" s="63"/>
      <c r="F57" s="63"/>
      <c r="G57" s="63"/>
      <c r="H57" s="63"/>
      <c r="I57" s="63"/>
      <c r="J57" s="63"/>
      <c r="K57" s="63"/>
      <c r="L57" s="63"/>
      <c r="M57" s="63"/>
      <c r="N57" s="63"/>
      <c r="O57" s="74"/>
      <c r="P57" s="74"/>
    </row>
    <row r="58" spans="2:16" x14ac:dyDescent="0.25">
      <c r="B58" s="211" t="s">
        <v>304</v>
      </c>
      <c r="C58" s="212"/>
      <c r="D58" s="212"/>
      <c r="E58" s="212"/>
      <c r="F58" s="212"/>
      <c r="G58" s="212"/>
      <c r="H58" s="212"/>
      <c r="I58" s="212"/>
      <c r="J58" s="212"/>
      <c r="K58" s="212"/>
      <c r="L58" s="212"/>
      <c r="M58" s="212"/>
      <c r="N58" s="212"/>
      <c r="O58" s="213"/>
      <c r="P58" s="74"/>
    </row>
    <row r="59" spans="2:16" x14ac:dyDescent="0.25">
      <c r="B59" s="214" t="s">
        <v>305</v>
      </c>
      <c r="C59" s="209"/>
      <c r="D59" s="207"/>
      <c r="E59" s="207"/>
      <c r="F59" s="207"/>
      <c r="G59" s="207"/>
      <c r="H59" s="207"/>
      <c r="I59" s="207"/>
      <c r="J59" s="207"/>
      <c r="K59" s="207"/>
      <c r="L59" s="207"/>
      <c r="M59" s="207"/>
      <c r="N59" s="207"/>
      <c r="O59" s="215"/>
      <c r="P59" s="74"/>
    </row>
    <row r="60" spans="2:16" x14ac:dyDescent="0.25">
      <c r="B60" s="214" t="s">
        <v>306</v>
      </c>
      <c r="C60" s="207"/>
      <c r="D60" s="210"/>
      <c r="E60" s="207"/>
      <c r="F60" s="207"/>
      <c r="G60" s="207"/>
      <c r="H60" s="207"/>
      <c r="I60" s="207"/>
      <c r="J60" s="207"/>
      <c r="K60" s="207"/>
      <c r="L60" s="207"/>
      <c r="M60" s="207"/>
      <c r="N60" s="207"/>
      <c r="O60" s="215"/>
      <c r="P60" s="74"/>
    </row>
    <row r="61" spans="2:16" x14ac:dyDescent="0.25">
      <c r="B61" s="214" t="s">
        <v>269</v>
      </c>
      <c r="C61" s="207"/>
      <c r="D61" s="207"/>
      <c r="E61" s="210"/>
      <c r="F61" s="207"/>
      <c r="G61" s="207"/>
      <c r="H61" s="207"/>
      <c r="I61" s="207"/>
      <c r="J61" s="207"/>
      <c r="K61" s="207"/>
      <c r="L61" s="207"/>
      <c r="M61" s="207"/>
      <c r="N61" s="207"/>
      <c r="O61" s="215"/>
      <c r="P61" s="74"/>
    </row>
    <row r="62" spans="2:16" x14ac:dyDescent="0.25">
      <c r="B62" s="214" t="s">
        <v>271</v>
      </c>
      <c r="C62" s="207"/>
      <c r="D62" s="207"/>
      <c r="E62" s="207"/>
      <c r="F62" s="207"/>
      <c r="G62" s="207"/>
      <c r="H62" s="207"/>
      <c r="I62" s="210"/>
      <c r="J62" s="207"/>
      <c r="K62" s="207"/>
      <c r="L62" s="207"/>
      <c r="M62" s="207"/>
      <c r="N62" s="207"/>
      <c r="O62" s="215"/>
      <c r="P62" s="74"/>
    </row>
    <row r="63" spans="2:16" x14ac:dyDescent="0.25">
      <c r="B63" s="214" t="s">
        <v>272</v>
      </c>
      <c r="C63" s="208"/>
      <c r="D63" s="208"/>
      <c r="E63" s="208"/>
      <c r="F63" s="208"/>
      <c r="G63" s="208"/>
      <c r="H63" s="208"/>
      <c r="I63" s="230"/>
      <c r="J63" s="230"/>
      <c r="K63" s="208"/>
      <c r="L63" s="208"/>
      <c r="M63" s="208"/>
      <c r="N63" s="208"/>
      <c r="O63" s="215"/>
      <c r="P63" s="74"/>
    </row>
    <row r="64" spans="2:16" ht="15.75" thickBot="1" x14ac:dyDescent="0.3">
      <c r="B64" s="217" t="s">
        <v>307</v>
      </c>
      <c r="C64" s="224"/>
      <c r="D64" s="224"/>
      <c r="E64" s="224"/>
      <c r="F64" s="224"/>
      <c r="G64" s="224"/>
      <c r="H64" s="224"/>
      <c r="I64" s="224"/>
      <c r="J64" s="231"/>
      <c r="K64" s="224"/>
      <c r="L64" s="224"/>
      <c r="M64" s="224"/>
      <c r="N64" s="224"/>
      <c r="O64" s="219"/>
      <c r="P64" s="74"/>
    </row>
  </sheetData>
  <mergeCells count="3">
    <mergeCell ref="D5:O5"/>
    <mergeCell ref="B3:O3"/>
    <mergeCell ref="B5:B6"/>
  </mergeCells>
  <printOptions gridLines="1"/>
  <pageMargins left="0.7" right="0.7" top="0.75" bottom="0.75" header="0.3" footer="0.3"/>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5"/>
  <sheetViews>
    <sheetView workbookViewId="0">
      <selection activeCell="F11" sqref="F11"/>
    </sheetView>
  </sheetViews>
  <sheetFormatPr defaultRowHeight="15" x14ac:dyDescent="0.25"/>
  <cols>
    <col min="1" max="1" width="26.5703125" customWidth="1"/>
    <col min="2" max="2" width="15" customWidth="1"/>
    <col min="3" max="3" width="14.5703125" customWidth="1"/>
  </cols>
  <sheetData>
    <row r="3" spans="1:3" x14ac:dyDescent="0.25">
      <c r="A3" s="41" t="s">
        <v>71</v>
      </c>
      <c r="B3" s="40" t="s">
        <v>69</v>
      </c>
      <c r="C3" s="40" t="s">
        <v>70</v>
      </c>
    </row>
    <row r="4" spans="1:3" x14ac:dyDescent="0.25">
      <c r="A4" t="s">
        <v>66</v>
      </c>
      <c r="B4" s="39">
        <v>80000000</v>
      </c>
      <c r="C4" s="39">
        <f>0.1*B4</f>
        <v>8000000</v>
      </c>
    </row>
    <row r="5" spans="1:3" x14ac:dyDescent="0.25">
      <c r="A5" t="s">
        <v>67</v>
      </c>
      <c r="B5" s="39">
        <v>36000000</v>
      </c>
      <c r="C5" s="39">
        <v>4000000</v>
      </c>
    </row>
    <row r="6" spans="1:3" x14ac:dyDescent="0.25">
      <c r="B6" s="39"/>
      <c r="C6" s="39"/>
    </row>
    <row r="7" spans="1:3" x14ac:dyDescent="0.25">
      <c r="A7" t="s">
        <v>44</v>
      </c>
      <c r="B7" s="39">
        <v>100000000</v>
      </c>
      <c r="C7" s="39">
        <v>10000000</v>
      </c>
    </row>
    <row r="8" spans="1:3" x14ac:dyDescent="0.25">
      <c r="A8" t="s">
        <v>68</v>
      </c>
      <c r="B8" s="39">
        <v>130000000</v>
      </c>
      <c r="C8" s="39">
        <v>12000000</v>
      </c>
    </row>
    <row r="9" spans="1:3" x14ac:dyDescent="0.25">
      <c r="A9" t="s">
        <v>74</v>
      </c>
      <c r="B9" s="39">
        <v>25000000</v>
      </c>
      <c r="C9" s="39">
        <v>2000000</v>
      </c>
    </row>
    <row r="10" spans="1:3" x14ac:dyDescent="0.25">
      <c r="A10" t="s">
        <v>72</v>
      </c>
      <c r="B10" s="39">
        <v>50000000</v>
      </c>
      <c r="C10" s="39">
        <v>10000000</v>
      </c>
    </row>
    <row r="11" spans="1:3" x14ac:dyDescent="0.25">
      <c r="C11" s="39"/>
    </row>
    <row r="12" spans="1:3" x14ac:dyDescent="0.25">
      <c r="A12" t="s">
        <v>73</v>
      </c>
      <c r="B12" s="39">
        <v>4000000</v>
      </c>
      <c r="C12" s="39"/>
    </row>
    <row r="13" spans="1:3" x14ac:dyDescent="0.25">
      <c r="C13" s="39"/>
    </row>
    <row r="14" spans="1:3" x14ac:dyDescent="0.25">
      <c r="C14" s="39"/>
    </row>
    <row r="15" spans="1:3" x14ac:dyDescent="0.25">
      <c r="C15" s="3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zoomScale="70" zoomScaleNormal="70" workbookViewId="0">
      <selection activeCell="G13" sqref="G13"/>
    </sheetView>
  </sheetViews>
  <sheetFormatPr defaultColWidth="9.140625" defaultRowHeight="15" x14ac:dyDescent="0.25"/>
  <cols>
    <col min="1" max="1" width="65.42578125" style="6" customWidth="1"/>
    <col min="2" max="2" width="9.140625" style="6"/>
    <col min="3" max="4" width="11.42578125" style="6" bestFit="1" customWidth="1"/>
    <col min="5" max="16384" width="9.140625" style="6"/>
  </cols>
  <sheetData>
    <row r="1" spans="1:1" x14ac:dyDescent="0.25">
      <c r="A1" s="135">
        <v>42691</v>
      </c>
    </row>
    <row r="2" spans="1:1" ht="53.1" customHeight="1" thickBot="1" x14ac:dyDescent="0.3">
      <c r="A2" s="136" t="s">
        <v>194</v>
      </c>
    </row>
    <row r="3" spans="1:1" ht="19.5" thickBot="1" x14ac:dyDescent="0.3">
      <c r="A3" s="137" t="s">
        <v>4</v>
      </c>
    </row>
    <row r="4" spans="1:1" x14ac:dyDescent="0.25">
      <c r="A4" s="17"/>
    </row>
    <row r="5" spans="1:1" ht="18.75" x14ac:dyDescent="0.25">
      <c r="A5" s="138" t="s">
        <v>41</v>
      </c>
    </row>
    <row r="6" spans="1:1" x14ac:dyDescent="0.25">
      <c r="A6" s="17" t="s">
        <v>5</v>
      </c>
    </row>
    <row r="7" spans="1:1" x14ac:dyDescent="0.25">
      <c r="A7" s="17" t="s">
        <v>6</v>
      </c>
    </row>
    <row r="8" spans="1:1" x14ac:dyDescent="0.25">
      <c r="A8" s="17" t="s">
        <v>36</v>
      </c>
    </row>
    <row r="9" spans="1:1" ht="15" customHeight="1" x14ac:dyDescent="0.25">
      <c r="A9" s="17" t="s">
        <v>22</v>
      </c>
    </row>
    <row r="10" spans="1:1" ht="14.1" customHeight="1" x14ac:dyDescent="0.25">
      <c r="A10" s="139" t="s">
        <v>7</v>
      </c>
    </row>
    <row r="11" spans="1:1" ht="15.6" customHeight="1" x14ac:dyDescent="0.25">
      <c r="A11" s="139" t="s">
        <v>26</v>
      </c>
    </row>
    <row r="12" spans="1:1" ht="15.6" customHeight="1" x14ac:dyDescent="0.25">
      <c r="A12" s="139" t="s">
        <v>48</v>
      </c>
    </row>
    <row r="13" spans="1:1" x14ac:dyDescent="0.25">
      <c r="A13" s="139" t="s">
        <v>27</v>
      </c>
    </row>
    <row r="14" spans="1:1" x14ac:dyDescent="0.25">
      <c r="A14" s="17" t="s">
        <v>20</v>
      </c>
    </row>
    <row r="15" spans="1:1" x14ac:dyDescent="0.25">
      <c r="A15" s="17" t="s">
        <v>25</v>
      </c>
    </row>
    <row r="16" spans="1:1" x14ac:dyDescent="0.25">
      <c r="A16" s="17" t="s">
        <v>8</v>
      </c>
    </row>
    <row r="17" spans="1:1" x14ac:dyDescent="0.25">
      <c r="A17" s="17" t="s">
        <v>37</v>
      </c>
    </row>
    <row r="18" spans="1:1" x14ac:dyDescent="0.25">
      <c r="A18" s="17" t="s">
        <v>17</v>
      </c>
    </row>
    <row r="19" spans="1:1" x14ac:dyDescent="0.25">
      <c r="A19" s="17" t="s">
        <v>9</v>
      </c>
    </row>
    <row r="20" spans="1:1" ht="15.75" thickBot="1" x14ac:dyDescent="0.3">
      <c r="A20" s="140" t="s">
        <v>43</v>
      </c>
    </row>
    <row r="21" spans="1:1" ht="15.75" thickTop="1" x14ac:dyDescent="0.25">
      <c r="A21" s="19"/>
    </row>
    <row r="22" spans="1:1" x14ac:dyDescent="0.25">
      <c r="A22" s="17"/>
    </row>
    <row r="23" spans="1:1" ht="18.75" x14ac:dyDescent="0.25">
      <c r="A23" s="138" t="s">
        <v>42</v>
      </c>
    </row>
    <row r="24" spans="1:1" x14ac:dyDescent="0.25">
      <c r="A24" s="19" t="s">
        <v>31</v>
      </c>
    </row>
    <row r="25" spans="1:1" x14ac:dyDescent="0.25">
      <c r="A25" s="19" t="s">
        <v>46</v>
      </c>
    </row>
    <row r="26" spans="1:1" x14ac:dyDescent="0.25">
      <c r="A26" s="19" t="s">
        <v>11</v>
      </c>
    </row>
    <row r="27" spans="1:1" x14ac:dyDescent="0.25">
      <c r="A27" s="19" t="s">
        <v>32</v>
      </c>
    </row>
    <row r="28" spans="1:1" ht="15.75" thickBot="1" x14ac:dyDescent="0.3">
      <c r="A28" s="141" t="s">
        <v>12</v>
      </c>
    </row>
    <row r="29" spans="1:1" ht="15.75" thickTop="1" x14ac:dyDescent="0.25">
      <c r="A29" s="19"/>
    </row>
    <row r="30" spans="1:1" x14ac:dyDescent="0.25">
      <c r="A30" s="19"/>
    </row>
    <row r="31" spans="1:1" ht="18.75" x14ac:dyDescent="0.25">
      <c r="A31" s="142" t="s">
        <v>13</v>
      </c>
    </row>
    <row r="32" spans="1:1" x14ac:dyDescent="0.25">
      <c r="A32" s="17" t="s">
        <v>14</v>
      </c>
    </row>
    <row r="33" spans="1:6" x14ac:dyDescent="0.25">
      <c r="A33" s="17" t="s">
        <v>45</v>
      </c>
    </row>
    <row r="34" spans="1:6" ht="15.75" thickBot="1" x14ac:dyDescent="0.3">
      <c r="A34" s="143" t="s">
        <v>15</v>
      </c>
    </row>
    <row r="35" spans="1:6" ht="18.75" x14ac:dyDescent="0.25">
      <c r="A35" s="9"/>
    </row>
    <row r="39" spans="1:6" x14ac:dyDescent="0.25">
      <c r="F39" s="6" t="s">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workbookViewId="0">
      <selection activeCell="O64" sqref="O64"/>
    </sheetView>
  </sheetViews>
  <sheetFormatPr defaultRowHeight="15" x14ac:dyDescent="0.25"/>
  <cols>
    <col min="1" max="1" width="7.5703125" style="38" customWidth="1"/>
    <col min="2" max="2" width="25.5703125" customWidth="1"/>
    <col min="4" max="4" width="8.85546875" style="60"/>
    <col min="8" max="8" width="5.5703125" customWidth="1"/>
    <col min="9" max="9" width="25.5703125" customWidth="1"/>
    <col min="10" max="10" width="6.5703125" customWidth="1"/>
    <col min="13" max="13" width="6.5703125" customWidth="1"/>
    <col min="14" max="14" width="5.5703125" style="46" customWidth="1"/>
    <col min="15" max="15" width="25.5703125" customWidth="1"/>
    <col min="16" max="16" width="6.5703125" customWidth="1"/>
  </cols>
  <sheetData>
    <row r="1" spans="1:18" ht="15" customHeight="1" x14ac:dyDescent="0.25">
      <c r="B1" s="246" t="s">
        <v>102</v>
      </c>
      <c r="C1" s="246"/>
      <c r="D1" s="246"/>
      <c r="E1" s="246"/>
      <c r="H1" s="246" t="str">
        <f>B1</f>
        <v>Einingaverð fyrir jarðvinnu</v>
      </c>
      <c r="I1" s="246"/>
      <c r="J1" s="246"/>
      <c r="K1" s="246"/>
      <c r="L1" s="246"/>
      <c r="M1" s="246"/>
      <c r="N1" s="246"/>
      <c r="O1" s="246"/>
      <c r="P1" s="246"/>
      <c r="Q1" s="246"/>
      <c r="R1" s="246"/>
    </row>
    <row r="2" spans="1:18" ht="15" customHeight="1" x14ac:dyDescent="0.25">
      <c r="B2" s="246"/>
      <c r="C2" s="246"/>
      <c r="D2" s="246"/>
      <c r="E2" s="246"/>
      <c r="H2" s="246"/>
      <c r="I2" s="246"/>
      <c r="J2" s="246"/>
      <c r="K2" s="246"/>
      <c r="L2" s="246"/>
      <c r="M2" s="246"/>
      <c r="N2" s="246"/>
      <c r="O2" s="246"/>
      <c r="P2" s="246"/>
      <c r="Q2" s="246"/>
      <c r="R2" s="246"/>
    </row>
    <row r="3" spans="1:18" x14ac:dyDescent="0.25">
      <c r="A3" s="38" t="s">
        <v>103</v>
      </c>
      <c r="H3" s="46" t="str">
        <f>A3</f>
        <v>Fletti</v>
      </c>
      <c r="L3" s="82"/>
      <c r="M3" s="74"/>
      <c r="N3" s="83" t="str">
        <f>H3</f>
        <v>Fletti</v>
      </c>
    </row>
    <row r="4" spans="1:18" x14ac:dyDescent="0.25">
      <c r="A4" s="38" t="s">
        <v>82</v>
      </c>
      <c r="B4" s="38" t="s">
        <v>104</v>
      </c>
      <c r="C4" s="84" t="s">
        <v>80</v>
      </c>
      <c r="D4" s="85" t="s">
        <v>76</v>
      </c>
      <c r="E4" s="46" t="s">
        <v>105</v>
      </c>
      <c r="H4" s="46" t="str">
        <f>A4</f>
        <v>númer</v>
      </c>
      <c r="I4" s="86" t="str">
        <f>B4</f>
        <v>Liður</v>
      </c>
      <c r="J4" s="86" t="str">
        <f>C4</f>
        <v>Ein.</v>
      </c>
      <c r="K4" s="86" t="str">
        <f t="shared" ref="K4:L19" si="0">D4</f>
        <v>Ein.verð</v>
      </c>
      <c r="L4" s="87" t="str">
        <f t="shared" si="0"/>
        <v>dags.</v>
      </c>
      <c r="M4" s="88"/>
      <c r="N4" s="83" t="str">
        <f>H4</f>
        <v>númer</v>
      </c>
      <c r="O4" s="86" t="str">
        <f>I4</f>
        <v>Liður</v>
      </c>
      <c r="P4" s="86" t="str">
        <f>J4</f>
        <v>Ein.</v>
      </c>
      <c r="Q4" s="86" t="str">
        <f>K4</f>
        <v>Ein.verð</v>
      </c>
      <c r="R4" s="89" t="str">
        <f>L4</f>
        <v>dags.</v>
      </c>
    </row>
    <row r="5" spans="1:18" x14ac:dyDescent="0.25">
      <c r="A5" s="90">
        <v>1</v>
      </c>
      <c r="B5" s="91" t="s">
        <v>106</v>
      </c>
      <c r="C5" s="52" t="s">
        <v>107</v>
      </c>
      <c r="D5" s="51">
        <v>175000</v>
      </c>
      <c r="E5" s="92">
        <v>42491</v>
      </c>
      <c r="H5" s="93">
        <f t="shared" ref="H5:K39" si="1">A5</f>
        <v>1</v>
      </c>
      <c r="I5" s="94" t="str">
        <f t="shared" si="1"/>
        <v>Aðstaða</v>
      </c>
      <c r="J5" s="95" t="str">
        <f t="shared" si="1"/>
        <v>heild</v>
      </c>
      <c r="K5" s="96">
        <f t="shared" si="0"/>
        <v>175000</v>
      </c>
      <c r="L5" s="97">
        <f>IF(E5="","",E5)</f>
        <v>42491</v>
      </c>
      <c r="M5" s="98"/>
      <c r="N5" s="99">
        <f>A40</f>
        <v>36</v>
      </c>
      <c r="O5" s="100" t="str">
        <f t="shared" ref="O5:Q20" si="2">B40</f>
        <v>Jöfnunarlag udir malbik</v>
      </c>
      <c r="P5" s="95" t="str">
        <f t="shared" si="2"/>
        <v>m2</v>
      </c>
      <c r="Q5" s="96">
        <f t="shared" si="2"/>
        <v>900</v>
      </c>
      <c r="R5" s="92">
        <f>IF(E40="","",E40)</f>
        <v>42491</v>
      </c>
    </row>
    <row r="6" spans="1:18" x14ac:dyDescent="0.25">
      <c r="A6" s="90">
        <v>2</v>
      </c>
      <c r="B6" s="91" t="s">
        <v>108</v>
      </c>
      <c r="C6" s="52" t="s">
        <v>107</v>
      </c>
      <c r="D6" s="51">
        <v>110000</v>
      </c>
      <c r="E6" s="92">
        <v>42491</v>
      </c>
      <c r="H6" s="93">
        <f t="shared" si="1"/>
        <v>2</v>
      </c>
      <c r="I6" s="94" t="str">
        <f t="shared" si="1"/>
        <v>Öryggisráðstafanir</v>
      </c>
      <c r="J6" s="95" t="str">
        <f t="shared" si="1"/>
        <v>heild</v>
      </c>
      <c r="K6" s="96">
        <f t="shared" si="0"/>
        <v>110000</v>
      </c>
      <c r="L6" s="97">
        <f t="shared" ref="L6:L39" si="3">IF(E6="","",E6)</f>
        <v>42491</v>
      </c>
      <c r="M6" s="98"/>
      <c r="N6" s="99">
        <f t="shared" ref="N6:Q39" si="4">A41</f>
        <v>37</v>
      </c>
      <c r="O6" s="100" t="str">
        <f t="shared" si="2"/>
        <v>Malbikun SL 8 - 20 mm</v>
      </c>
      <c r="P6" s="95" t="str">
        <f t="shared" si="2"/>
        <v>m2</v>
      </c>
      <c r="Q6" s="96">
        <f t="shared" si="2"/>
        <v>2300</v>
      </c>
      <c r="R6" s="92">
        <f t="shared" ref="R6:R39" si="5">IF(E41="","",E41)</f>
        <v>42491</v>
      </c>
    </row>
    <row r="7" spans="1:18" x14ac:dyDescent="0.25">
      <c r="A7" s="90">
        <v>3</v>
      </c>
      <c r="B7" s="91" t="s">
        <v>109</v>
      </c>
      <c r="C7" s="52" t="s">
        <v>107</v>
      </c>
      <c r="D7" s="51">
        <v>110000</v>
      </c>
      <c r="E7" s="92">
        <v>42491</v>
      </c>
      <c r="H7" s="93">
        <f t="shared" si="1"/>
        <v>3</v>
      </c>
      <c r="I7" s="94" t="str">
        <f t="shared" si="1"/>
        <v>Merkingar</v>
      </c>
      <c r="J7" s="95" t="str">
        <f t="shared" si="1"/>
        <v>heild</v>
      </c>
      <c r="K7" s="96">
        <f t="shared" si="0"/>
        <v>110000</v>
      </c>
      <c r="L7" s="97">
        <f t="shared" si="3"/>
        <v>42491</v>
      </c>
      <c r="M7" s="98"/>
      <c r="N7" s="99">
        <f t="shared" si="4"/>
        <v>38</v>
      </c>
      <c r="O7" s="100" t="str">
        <f t="shared" si="2"/>
        <v>Malbikun SL 11 - 50 mm</v>
      </c>
      <c r="P7" s="95" t="str">
        <f t="shared" si="2"/>
        <v>m2</v>
      </c>
      <c r="Q7" s="96">
        <f t="shared" si="2"/>
        <v>4700</v>
      </c>
      <c r="R7" s="92">
        <f t="shared" si="5"/>
        <v>42491</v>
      </c>
    </row>
    <row r="8" spans="1:18" x14ac:dyDescent="0.25">
      <c r="A8" s="90">
        <v>4</v>
      </c>
      <c r="B8" s="91" t="s">
        <v>110</v>
      </c>
      <c r="C8" s="52" t="s">
        <v>107</v>
      </c>
      <c r="D8" s="51">
        <v>200000</v>
      </c>
      <c r="E8" s="92">
        <v>42491</v>
      </c>
      <c r="H8" s="93">
        <f t="shared" si="1"/>
        <v>4</v>
      </c>
      <c r="I8" s="94" t="str">
        <f t="shared" si="1"/>
        <v>Frágangur í verklok</v>
      </c>
      <c r="J8" s="95" t="str">
        <f t="shared" si="1"/>
        <v>heild</v>
      </c>
      <c r="K8" s="96">
        <f t="shared" si="0"/>
        <v>200000</v>
      </c>
      <c r="L8" s="97">
        <f t="shared" si="3"/>
        <v>42491</v>
      </c>
      <c r="M8" s="98"/>
      <c r="N8" s="99">
        <f t="shared" si="4"/>
        <v>39</v>
      </c>
      <c r="O8" s="100" t="str">
        <f t="shared" si="2"/>
        <v>Malbikun SL 16 - ≥ 50 mm</v>
      </c>
      <c r="P8" s="95" t="str">
        <f t="shared" si="2"/>
        <v>m2</v>
      </c>
      <c r="Q8" s="96">
        <f t="shared" si="2"/>
        <v>0</v>
      </c>
      <c r="R8" s="92" t="str">
        <f t="shared" si="5"/>
        <v/>
      </c>
    </row>
    <row r="9" spans="1:18" x14ac:dyDescent="0.25">
      <c r="A9" s="101">
        <v>5</v>
      </c>
      <c r="B9" s="102" t="s">
        <v>16</v>
      </c>
      <c r="C9" s="103" t="s">
        <v>107</v>
      </c>
      <c r="D9" s="104">
        <v>100000</v>
      </c>
      <c r="E9" s="105">
        <v>42491</v>
      </c>
      <c r="H9" s="93">
        <f t="shared" si="1"/>
        <v>5</v>
      </c>
      <c r="I9" s="94" t="str">
        <f t="shared" si="1"/>
        <v>Annað</v>
      </c>
      <c r="J9" s="95" t="str">
        <f t="shared" si="1"/>
        <v>heild</v>
      </c>
      <c r="K9" s="96">
        <f t="shared" si="0"/>
        <v>100000</v>
      </c>
      <c r="L9" s="97">
        <f t="shared" si="3"/>
        <v>42491</v>
      </c>
      <c r="M9" s="98"/>
      <c r="N9" s="99">
        <f t="shared" si="4"/>
        <v>40</v>
      </c>
      <c r="O9" s="100" t="str">
        <f t="shared" si="2"/>
        <v>Malbikun BRL 16 - ≥ 50 mm</v>
      </c>
      <c r="P9" s="95" t="str">
        <f t="shared" si="2"/>
        <v>m2</v>
      </c>
      <c r="Q9" s="96">
        <f t="shared" si="2"/>
        <v>0</v>
      </c>
      <c r="R9" s="92" t="str">
        <f t="shared" si="5"/>
        <v/>
      </c>
    </row>
    <row r="10" spans="1:18" x14ac:dyDescent="0.25">
      <c r="A10" s="106">
        <v>6</v>
      </c>
      <c r="B10" s="107" t="s">
        <v>111</v>
      </c>
      <c r="C10" s="108" t="s">
        <v>112</v>
      </c>
      <c r="D10" s="109">
        <v>5500</v>
      </c>
      <c r="E10" s="110">
        <v>42491</v>
      </c>
      <c r="H10" s="93">
        <f t="shared" si="1"/>
        <v>6</v>
      </c>
      <c r="I10" s="94" t="str">
        <f t="shared" si="1"/>
        <v>Verkamaður</v>
      </c>
      <c r="J10" s="95" t="str">
        <f t="shared" si="1"/>
        <v>klst.</v>
      </c>
      <c r="K10" s="96">
        <f t="shared" si="0"/>
        <v>5500</v>
      </c>
      <c r="L10" s="97">
        <f t="shared" si="3"/>
        <v>42491</v>
      </c>
      <c r="M10" s="98"/>
      <c r="N10" s="99">
        <f t="shared" si="4"/>
        <v>41</v>
      </c>
      <c r="O10" s="100" t="str">
        <f t="shared" si="2"/>
        <v>Steyptur kantsteinn 100 mm</v>
      </c>
      <c r="P10" s="95" t="str">
        <f t="shared" si="2"/>
        <v>m</v>
      </c>
      <c r="Q10" s="96">
        <f t="shared" si="2"/>
        <v>3800</v>
      </c>
      <c r="R10" s="92">
        <f t="shared" si="5"/>
        <v>42491</v>
      </c>
    </row>
    <row r="11" spans="1:18" x14ac:dyDescent="0.25">
      <c r="A11" s="90">
        <v>7</v>
      </c>
      <c r="B11" s="91" t="s">
        <v>113</v>
      </c>
      <c r="C11" s="52" t="s">
        <v>112</v>
      </c>
      <c r="D11" s="51">
        <v>5800</v>
      </c>
      <c r="E11" s="92">
        <v>42491</v>
      </c>
      <c r="H11" s="93">
        <f t="shared" si="1"/>
        <v>7</v>
      </c>
      <c r="I11" s="94" t="str">
        <f t="shared" si="1"/>
        <v>Vélamenn/bílstjórar</v>
      </c>
      <c r="J11" s="95" t="str">
        <f t="shared" si="1"/>
        <v>klst.</v>
      </c>
      <c r="K11" s="96">
        <f t="shared" si="0"/>
        <v>5800</v>
      </c>
      <c r="L11" s="97">
        <f t="shared" si="3"/>
        <v>42491</v>
      </c>
      <c r="M11" s="98"/>
      <c r="N11" s="99">
        <f t="shared" si="4"/>
        <v>42</v>
      </c>
      <c r="O11" s="100">
        <f t="shared" si="2"/>
        <v>0</v>
      </c>
      <c r="P11" s="95">
        <f t="shared" si="2"/>
        <v>0</v>
      </c>
      <c r="Q11" s="96">
        <f t="shared" si="2"/>
        <v>0</v>
      </c>
      <c r="R11" s="92">
        <f t="shared" si="5"/>
        <v>42491</v>
      </c>
    </row>
    <row r="12" spans="1:18" x14ac:dyDescent="0.25">
      <c r="A12" s="90">
        <v>8</v>
      </c>
      <c r="B12" s="91" t="s">
        <v>114</v>
      </c>
      <c r="C12" s="52" t="s">
        <v>112</v>
      </c>
      <c r="D12" s="51">
        <v>8300</v>
      </c>
      <c r="E12" s="92">
        <v>42491</v>
      </c>
      <c r="H12" s="93">
        <f t="shared" si="1"/>
        <v>8</v>
      </c>
      <c r="I12" s="94" t="str">
        <f t="shared" si="1"/>
        <v>Iðnaðarmaður</v>
      </c>
      <c r="J12" s="95" t="str">
        <f t="shared" si="1"/>
        <v>klst.</v>
      </c>
      <c r="K12" s="96">
        <f t="shared" si="0"/>
        <v>8300</v>
      </c>
      <c r="L12" s="97">
        <f t="shared" si="3"/>
        <v>42491</v>
      </c>
      <c r="M12" s="98"/>
      <c r="N12" s="99">
        <f t="shared" si="4"/>
        <v>43</v>
      </c>
      <c r="O12" s="100" t="str">
        <f t="shared" si="2"/>
        <v>Götuniðurf. með sandf. og v.lás</v>
      </c>
      <c r="P12" s="95" t="str">
        <f t="shared" si="2"/>
        <v>stk.</v>
      </c>
      <c r="Q12" s="96">
        <f t="shared" si="2"/>
        <v>65000</v>
      </c>
      <c r="R12" s="92">
        <f t="shared" si="5"/>
        <v>42491</v>
      </c>
    </row>
    <row r="13" spans="1:18" x14ac:dyDescent="0.25">
      <c r="A13" s="90">
        <v>9</v>
      </c>
      <c r="B13" s="91" t="s">
        <v>115</v>
      </c>
      <c r="C13" s="52" t="s">
        <v>112</v>
      </c>
      <c r="D13" s="51">
        <v>12000</v>
      </c>
      <c r="E13" s="92">
        <v>42491</v>
      </c>
      <c r="H13" s="93">
        <f t="shared" si="1"/>
        <v>9</v>
      </c>
      <c r="I13" s="94" t="str">
        <f t="shared" si="1"/>
        <v>Mælingamaður</v>
      </c>
      <c r="J13" s="95" t="str">
        <f t="shared" si="1"/>
        <v>klst.</v>
      </c>
      <c r="K13" s="96">
        <f t="shared" si="0"/>
        <v>12000</v>
      </c>
      <c r="L13" s="97">
        <f t="shared" si="3"/>
        <v>42491</v>
      </c>
      <c r="M13" s="98"/>
      <c r="N13" s="99">
        <f t="shared" si="4"/>
        <v>44</v>
      </c>
      <c r="O13" s="100" t="str">
        <f t="shared" si="2"/>
        <v>Pípulögn 150 mm Steypt</v>
      </c>
      <c r="P13" s="95" t="str">
        <f t="shared" si="2"/>
        <v>m</v>
      </c>
      <c r="Q13" s="96">
        <f t="shared" si="2"/>
        <v>14300</v>
      </c>
      <c r="R13" s="92">
        <f t="shared" si="5"/>
        <v>42491</v>
      </c>
    </row>
    <row r="14" spans="1:18" x14ac:dyDescent="0.25">
      <c r="A14" s="101">
        <v>10</v>
      </c>
      <c r="B14" s="111" t="s">
        <v>116</v>
      </c>
      <c r="C14" s="103" t="s">
        <v>112</v>
      </c>
      <c r="D14" s="112">
        <v>15000</v>
      </c>
      <c r="E14" s="105">
        <v>42491</v>
      </c>
      <c r="H14" s="93">
        <f t="shared" si="1"/>
        <v>10</v>
      </c>
      <c r="I14" s="94" t="str">
        <f t="shared" si="1"/>
        <v>Tæknimaður</v>
      </c>
      <c r="J14" s="95" t="str">
        <f t="shared" si="1"/>
        <v>klst.</v>
      </c>
      <c r="K14" s="96">
        <f t="shared" si="0"/>
        <v>15000</v>
      </c>
      <c r="L14" s="97">
        <f t="shared" si="3"/>
        <v>42491</v>
      </c>
      <c r="M14" s="98"/>
      <c r="N14" s="99">
        <f t="shared" si="4"/>
        <v>45</v>
      </c>
      <c r="O14" s="100" t="str">
        <f t="shared" si="2"/>
        <v>Hreinsibrunnur 1000 mm</v>
      </c>
      <c r="P14" s="95" t="str">
        <f t="shared" si="2"/>
        <v>heild</v>
      </c>
      <c r="Q14" s="96">
        <f t="shared" si="2"/>
        <v>180000</v>
      </c>
      <c r="R14" s="92">
        <f t="shared" si="5"/>
        <v>42491</v>
      </c>
    </row>
    <row r="15" spans="1:18" x14ac:dyDescent="0.25">
      <c r="A15" s="106">
        <v>11</v>
      </c>
      <c r="B15" s="107" t="s">
        <v>117</v>
      </c>
      <c r="C15" s="108" t="s">
        <v>112</v>
      </c>
      <c r="D15" s="109">
        <v>10700</v>
      </c>
      <c r="E15" s="110">
        <v>42491</v>
      </c>
      <c r="H15" s="93">
        <f t="shared" si="1"/>
        <v>11</v>
      </c>
      <c r="I15" s="94" t="str">
        <f t="shared" si="1"/>
        <v>Bakkóvél</v>
      </c>
      <c r="J15" s="95" t="str">
        <f t="shared" si="1"/>
        <v>klst.</v>
      </c>
      <c r="K15" s="96">
        <f t="shared" si="0"/>
        <v>10700</v>
      </c>
      <c r="L15" s="97">
        <f t="shared" si="3"/>
        <v>42491</v>
      </c>
      <c r="M15" s="98"/>
      <c r="N15" s="99">
        <f t="shared" si="4"/>
        <v>46</v>
      </c>
      <c r="O15" s="100" t="str">
        <f t="shared" si="2"/>
        <v>Lok á hreinsibrunn</v>
      </c>
      <c r="P15" s="95" t="str">
        <f t="shared" si="2"/>
        <v>heild</v>
      </c>
      <c r="Q15" s="96">
        <f t="shared" si="2"/>
        <v>72300</v>
      </c>
      <c r="R15" s="92">
        <f t="shared" si="5"/>
        <v>42491</v>
      </c>
    </row>
    <row r="16" spans="1:18" x14ac:dyDescent="0.25">
      <c r="A16" s="90">
        <v>12</v>
      </c>
      <c r="B16" s="91" t="s">
        <v>118</v>
      </c>
      <c r="C16" s="52" t="s">
        <v>112</v>
      </c>
      <c r="D16" s="113">
        <v>12000</v>
      </c>
      <c r="E16" s="92">
        <v>42491</v>
      </c>
      <c r="H16" s="93">
        <f t="shared" si="1"/>
        <v>12</v>
      </c>
      <c r="I16" s="94" t="str">
        <f t="shared" si="1"/>
        <v>Bakkóvél stór</v>
      </c>
      <c r="J16" s="95" t="str">
        <f t="shared" si="1"/>
        <v>klst.</v>
      </c>
      <c r="K16" s="96">
        <f t="shared" si="0"/>
        <v>12000</v>
      </c>
      <c r="L16" s="97">
        <f t="shared" si="3"/>
        <v>42491</v>
      </c>
      <c r="M16" s="98"/>
      <c r="N16" s="99">
        <f t="shared" si="4"/>
        <v>47</v>
      </c>
      <c r="O16" s="100" t="str">
        <f t="shared" si="2"/>
        <v>Frárennslislögn 100 mm PVC</v>
      </c>
      <c r="P16" s="95" t="str">
        <f t="shared" si="2"/>
        <v>m</v>
      </c>
      <c r="Q16" s="96">
        <f t="shared" si="2"/>
        <v>3780</v>
      </c>
      <c r="R16" s="92">
        <f t="shared" si="5"/>
        <v>42370</v>
      </c>
    </row>
    <row r="17" spans="1:18" x14ac:dyDescent="0.25">
      <c r="A17" s="90">
        <v>13</v>
      </c>
      <c r="B17" s="91" t="s">
        <v>119</v>
      </c>
      <c r="C17" s="52" t="s">
        <v>112</v>
      </c>
      <c r="D17" s="113"/>
      <c r="E17" s="92"/>
      <c r="H17" s="93">
        <f t="shared" si="1"/>
        <v>13</v>
      </c>
      <c r="I17" s="94" t="str">
        <f t="shared" si="1"/>
        <v>Hjólaskófla</v>
      </c>
      <c r="J17" s="95" t="str">
        <f t="shared" si="1"/>
        <v>klst.</v>
      </c>
      <c r="K17" s="96">
        <f t="shared" si="0"/>
        <v>0</v>
      </c>
      <c r="L17" s="97" t="str">
        <f t="shared" si="3"/>
        <v/>
      </c>
      <c r="M17" s="98"/>
      <c r="N17" s="99">
        <f t="shared" si="4"/>
        <v>48</v>
      </c>
      <c r="O17" s="100" t="str">
        <f t="shared" si="2"/>
        <v>Frárennslisrör 100 mm PVC</v>
      </c>
      <c r="P17" s="95" t="str">
        <f t="shared" si="2"/>
        <v>m</v>
      </c>
      <c r="Q17" s="96">
        <f t="shared" si="2"/>
        <v>1950</v>
      </c>
      <c r="R17" s="92">
        <f t="shared" si="5"/>
        <v>42370</v>
      </c>
    </row>
    <row r="18" spans="1:18" x14ac:dyDescent="0.25">
      <c r="A18" s="90">
        <v>14</v>
      </c>
      <c r="B18" s="91" t="s">
        <v>120</v>
      </c>
      <c r="C18" s="52" t="s">
        <v>112</v>
      </c>
      <c r="D18" s="113"/>
      <c r="E18" s="92"/>
      <c r="H18" s="93">
        <f t="shared" si="1"/>
        <v>14</v>
      </c>
      <c r="I18" s="94" t="str">
        <f t="shared" si="1"/>
        <v>Hjólaskófla stór</v>
      </c>
      <c r="J18" s="95" t="str">
        <f t="shared" si="1"/>
        <v>klst.</v>
      </c>
      <c r="K18" s="96">
        <f t="shared" si="0"/>
        <v>0</v>
      </c>
      <c r="L18" s="97" t="str">
        <f t="shared" si="3"/>
        <v/>
      </c>
      <c r="M18" s="98"/>
      <c r="N18" s="99">
        <f t="shared" si="4"/>
        <v>49</v>
      </c>
      <c r="O18" s="100">
        <f t="shared" si="2"/>
        <v>0</v>
      </c>
      <c r="P18" s="95">
        <f t="shared" si="2"/>
        <v>0</v>
      </c>
      <c r="Q18" s="96">
        <f t="shared" si="2"/>
        <v>0</v>
      </c>
      <c r="R18" s="92" t="str">
        <f t="shared" si="5"/>
        <v/>
      </c>
    </row>
    <row r="19" spans="1:18" x14ac:dyDescent="0.25">
      <c r="A19" s="90">
        <v>15</v>
      </c>
      <c r="B19" s="91" t="s">
        <v>121</v>
      </c>
      <c r="C19" s="52" t="s">
        <v>112</v>
      </c>
      <c r="D19" s="51">
        <v>8700</v>
      </c>
      <c r="E19" s="92">
        <v>42491</v>
      </c>
      <c r="H19" s="93">
        <f t="shared" si="1"/>
        <v>15</v>
      </c>
      <c r="I19" s="94" t="str">
        <f t="shared" si="1"/>
        <v>Traktorsgrafa</v>
      </c>
      <c r="J19" s="95" t="str">
        <f t="shared" si="1"/>
        <v>klst.</v>
      </c>
      <c r="K19" s="96">
        <f t="shared" si="0"/>
        <v>8700</v>
      </c>
      <c r="L19" s="97">
        <f t="shared" si="3"/>
        <v>42491</v>
      </c>
      <c r="M19" s="98"/>
      <c r="N19" s="99">
        <f t="shared" si="4"/>
        <v>50</v>
      </c>
      <c r="O19" s="100">
        <f t="shared" si="2"/>
        <v>0</v>
      </c>
      <c r="P19" s="95">
        <f t="shared" si="2"/>
        <v>0</v>
      </c>
      <c r="Q19" s="96">
        <f t="shared" si="2"/>
        <v>0</v>
      </c>
      <c r="R19" s="92" t="str">
        <f t="shared" si="5"/>
        <v/>
      </c>
    </row>
    <row r="20" spans="1:18" x14ac:dyDescent="0.25">
      <c r="A20" s="90">
        <v>16</v>
      </c>
      <c r="B20" s="91" t="s">
        <v>122</v>
      </c>
      <c r="C20" s="52" t="s">
        <v>112</v>
      </c>
      <c r="D20" s="51">
        <v>7500</v>
      </c>
      <c r="E20" s="92">
        <v>42491</v>
      </c>
      <c r="H20" s="93">
        <f t="shared" si="1"/>
        <v>16</v>
      </c>
      <c r="I20" s="94" t="str">
        <f t="shared" si="1"/>
        <v>Smágrafa</v>
      </c>
      <c r="J20" s="95" t="str">
        <f t="shared" si="1"/>
        <v>klst.</v>
      </c>
      <c r="K20" s="96">
        <f t="shared" si="1"/>
        <v>7500</v>
      </c>
      <c r="L20" s="97">
        <f t="shared" si="3"/>
        <v>42491</v>
      </c>
      <c r="M20" s="98"/>
      <c r="N20" s="99">
        <f t="shared" si="4"/>
        <v>51</v>
      </c>
      <c r="O20" s="100" t="str">
        <f t="shared" si="2"/>
        <v>Ídráttarrör fyrir rafmagn</v>
      </c>
      <c r="P20" s="95" t="str">
        <f t="shared" si="2"/>
        <v>m</v>
      </c>
      <c r="Q20" s="96">
        <f t="shared" si="2"/>
        <v>3000</v>
      </c>
      <c r="R20" s="92">
        <f t="shared" si="5"/>
        <v>42491</v>
      </c>
    </row>
    <row r="21" spans="1:18" x14ac:dyDescent="0.25">
      <c r="A21" s="90">
        <v>17</v>
      </c>
      <c r="B21" s="91" t="s">
        <v>123</v>
      </c>
      <c r="C21" s="52" t="s">
        <v>112</v>
      </c>
      <c r="D21" s="51"/>
      <c r="E21" s="92"/>
      <c r="H21" s="93">
        <f t="shared" si="1"/>
        <v>17</v>
      </c>
      <c r="I21" s="94" t="str">
        <f t="shared" si="1"/>
        <v>Vörubíll  lítill</v>
      </c>
      <c r="J21" s="95" t="str">
        <f t="shared" si="1"/>
        <v>klst.</v>
      </c>
      <c r="K21" s="96">
        <f t="shared" si="1"/>
        <v>0</v>
      </c>
      <c r="L21" s="97" t="str">
        <f t="shared" si="3"/>
        <v/>
      </c>
      <c r="M21" s="98"/>
      <c r="N21" s="99">
        <f t="shared" si="4"/>
        <v>52</v>
      </c>
      <c r="O21" s="100">
        <f t="shared" si="4"/>
        <v>0</v>
      </c>
      <c r="P21" s="95">
        <f t="shared" si="4"/>
        <v>0</v>
      </c>
      <c r="Q21" s="96">
        <f t="shared" si="4"/>
        <v>0</v>
      </c>
      <c r="R21" s="92" t="str">
        <f t="shared" si="5"/>
        <v/>
      </c>
    </row>
    <row r="22" spans="1:18" x14ac:dyDescent="0.25">
      <c r="A22" s="90">
        <v>18</v>
      </c>
      <c r="B22" s="91" t="s">
        <v>124</v>
      </c>
      <c r="C22" s="52" t="s">
        <v>112</v>
      </c>
      <c r="D22" s="51">
        <v>11500</v>
      </c>
      <c r="E22" s="92">
        <v>42491</v>
      </c>
      <c r="H22" s="93">
        <f t="shared" si="1"/>
        <v>18</v>
      </c>
      <c r="I22" s="94" t="str">
        <f t="shared" si="1"/>
        <v xml:space="preserve">Vörubíll  </v>
      </c>
      <c r="J22" s="95" t="str">
        <f t="shared" si="1"/>
        <v>klst.</v>
      </c>
      <c r="K22" s="96">
        <f t="shared" si="1"/>
        <v>11500</v>
      </c>
      <c r="L22" s="97">
        <f t="shared" si="3"/>
        <v>42491</v>
      </c>
      <c r="M22" s="98"/>
      <c r="N22" s="99">
        <f t="shared" si="4"/>
        <v>53</v>
      </c>
      <c r="O22" s="100">
        <f t="shared" si="4"/>
        <v>0</v>
      </c>
      <c r="P22" s="95">
        <f t="shared" si="4"/>
        <v>0</v>
      </c>
      <c r="Q22" s="96">
        <f t="shared" si="4"/>
        <v>0</v>
      </c>
      <c r="R22" s="92" t="str">
        <f t="shared" si="5"/>
        <v/>
      </c>
    </row>
    <row r="23" spans="1:18" x14ac:dyDescent="0.25">
      <c r="A23" s="90">
        <v>19</v>
      </c>
      <c r="B23" s="91" t="s">
        <v>125</v>
      </c>
      <c r="C23" s="52" t="s">
        <v>112</v>
      </c>
      <c r="D23" s="51">
        <v>12600</v>
      </c>
      <c r="E23" s="92">
        <v>42491</v>
      </c>
      <c r="H23" s="93">
        <f t="shared" si="1"/>
        <v>19</v>
      </c>
      <c r="I23" s="94" t="str">
        <f t="shared" si="1"/>
        <v>Vörubíll með krana</v>
      </c>
      <c r="J23" s="95" t="str">
        <f t="shared" si="1"/>
        <v>klst.</v>
      </c>
      <c r="K23" s="96">
        <f t="shared" si="1"/>
        <v>12600</v>
      </c>
      <c r="L23" s="97">
        <f t="shared" si="3"/>
        <v>42491</v>
      </c>
      <c r="M23" s="98"/>
      <c r="N23" s="99">
        <f t="shared" si="4"/>
        <v>54</v>
      </c>
      <c r="O23" s="100" t="str">
        <f t="shared" si="4"/>
        <v>Grjótsvelgur</v>
      </c>
      <c r="P23" s="95" t="str">
        <f t="shared" si="4"/>
        <v>m3</v>
      </c>
      <c r="Q23" s="96">
        <f t="shared" si="4"/>
        <v>7500</v>
      </c>
      <c r="R23" s="92">
        <f t="shared" si="5"/>
        <v>42370</v>
      </c>
    </row>
    <row r="24" spans="1:18" x14ac:dyDescent="0.25">
      <c r="A24" s="101">
        <v>20</v>
      </c>
      <c r="B24" s="111" t="s">
        <v>126</v>
      </c>
      <c r="C24" s="103" t="s">
        <v>112</v>
      </c>
      <c r="D24" s="112">
        <v>12000</v>
      </c>
      <c r="E24" s="105">
        <v>42491</v>
      </c>
      <c r="H24" s="93">
        <f t="shared" si="1"/>
        <v>20</v>
      </c>
      <c r="I24" s="94" t="str">
        <f t="shared" si="1"/>
        <v>Dráttarbíll</v>
      </c>
      <c r="J24" s="95" t="str">
        <f t="shared" si="1"/>
        <v>klst.</v>
      </c>
      <c r="K24" s="96">
        <f t="shared" si="1"/>
        <v>12000</v>
      </c>
      <c r="L24" s="97">
        <f t="shared" si="3"/>
        <v>42491</v>
      </c>
      <c r="M24" s="98"/>
      <c r="N24" s="99">
        <f t="shared" si="4"/>
        <v>55</v>
      </c>
      <c r="O24" s="100" t="str">
        <f t="shared" si="4"/>
        <v>Drenmöl</v>
      </c>
      <c r="P24" s="95" t="str">
        <f t="shared" si="4"/>
        <v>m3</v>
      </c>
      <c r="Q24" s="96">
        <f t="shared" si="4"/>
        <v>8500</v>
      </c>
      <c r="R24" s="92">
        <f t="shared" si="5"/>
        <v>42370</v>
      </c>
    </row>
    <row r="25" spans="1:18" ht="17.25" x14ac:dyDescent="0.25">
      <c r="A25" s="106">
        <v>21</v>
      </c>
      <c r="B25" s="114" t="s">
        <v>127</v>
      </c>
      <c r="C25" s="108" t="s">
        <v>128</v>
      </c>
      <c r="D25" s="109">
        <v>3500</v>
      </c>
      <c r="E25" s="110">
        <v>42491</v>
      </c>
      <c r="H25" s="93">
        <f t="shared" si="1"/>
        <v>21</v>
      </c>
      <c r="I25" s="94" t="str">
        <f t="shared" si="1"/>
        <v>Brjóta steypu og fjarlægja</v>
      </c>
      <c r="J25" s="95" t="str">
        <f t="shared" si="1"/>
        <v>m2</v>
      </c>
      <c r="K25" s="96">
        <f t="shared" si="1"/>
        <v>3500</v>
      </c>
      <c r="L25" s="97">
        <f t="shared" si="3"/>
        <v>42491</v>
      </c>
      <c r="M25" s="98"/>
      <c r="N25" s="99">
        <f t="shared" si="4"/>
        <v>56</v>
      </c>
      <c r="O25" s="100" t="str">
        <f t="shared" si="4"/>
        <v>Þökulagning</v>
      </c>
      <c r="P25" s="95" t="str">
        <f t="shared" si="4"/>
        <v>m2</v>
      </c>
      <c r="Q25" s="96">
        <f t="shared" si="4"/>
        <v>1000</v>
      </c>
      <c r="R25" s="92">
        <f t="shared" si="5"/>
        <v>42491</v>
      </c>
    </row>
    <row r="26" spans="1:18" ht="17.25" x14ac:dyDescent="0.25">
      <c r="A26" s="90">
        <v>22</v>
      </c>
      <c r="B26" s="115" t="s">
        <v>129</v>
      </c>
      <c r="C26" s="52" t="s">
        <v>128</v>
      </c>
      <c r="D26" s="51"/>
      <c r="E26" s="116"/>
      <c r="H26" s="93">
        <f t="shared" si="1"/>
        <v>22</v>
      </c>
      <c r="I26" s="94" t="str">
        <f t="shared" si="1"/>
        <v>Brjóta malbik og fjarlægja</v>
      </c>
      <c r="J26" s="95" t="str">
        <f t="shared" si="1"/>
        <v>m2</v>
      </c>
      <c r="K26" s="96">
        <f t="shared" si="1"/>
        <v>0</v>
      </c>
      <c r="L26" s="97" t="str">
        <f t="shared" si="3"/>
        <v/>
      </c>
      <c r="M26" s="98"/>
      <c r="N26" s="99">
        <f t="shared" si="4"/>
        <v>57</v>
      </c>
      <c r="O26" s="100">
        <f t="shared" si="4"/>
        <v>0</v>
      </c>
      <c r="P26" s="95">
        <f t="shared" si="4"/>
        <v>0</v>
      </c>
      <c r="Q26" s="96">
        <f t="shared" si="4"/>
        <v>0</v>
      </c>
      <c r="R26" s="92" t="str">
        <f t="shared" si="5"/>
        <v/>
      </c>
    </row>
    <row r="27" spans="1:18" ht="17.25" x14ac:dyDescent="0.25">
      <c r="A27" s="90">
        <v>23</v>
      </c>
      <c r="B27" s="115" t="s">
        <v>130</v>
      </c>
      <c r="C27" s="52" t="s">
        <v>131</v>
      </c>
      <c r="D27" s="51">
        <v>900</v>
      </c>
      <c r="E27" s="92">
        <v>42491</v>
      </c>
      <c r="H27" s="93">
        <f t="shared" si="1"/>
        <v>23</v>
      </c>
      <c r="I27" s="94" t="str">
        <f t="shared" si="1"/>
        <v>Gröftur - brottakstur</v>
      </c>
      <c r="J27" s="95" t="str">
        <f t="shared" si="1"/>
        <v>m3</v>
      </c>
      <c r="K27" s="96">
        <f t="shared" si="1"/>
        <v>900</v>
      </c>
      <c r="L27" s="97">
        <f t="shared" si="3"/>
        <v>42491</v>
      </c>
      <c r="M27" s="98"/>
      <c r="N27" s="99">
        <f t="shared" si="4"/>
        <v>58</v>
      </c>
      <c r="O27" s="100">
        <f t="shared" si="4"/>
        <v>0</v>
      </c>
      <c r="P27" s="95">
        <f t="shared" si="4"/>
        <v>0</v>
      </c>
      <c r="Q27" s="96">
        <f t="shared" si="4"/>
        <v>0</v>
      </c>
      <c r="R27" s="92" t="str">
        <f t="shared" si="5"/>
        <v/>
      </c>
    </row>
    <row r="28" spans="1:18" ht="17.25" x14ac:dyDescent="0.25">
      <c r="A28" s="90">
        <v>24</v>
      </c>
      <c r="B28" s="115" t="s">
        <v>132</v>
      </c>
      <c r="C28" s="52" t="s">
        <v>131</v>
      </c>
      <c r="D28" s="51">
        <v>970</v>
      </c>
      <c r="E28" s="92">
        <v>42491</v>
      </c>
      <c r="H28" s="93">
        <f t="shared" si="1"/>
        <v>24</v>
      </c>
      <c r="I28" s="94" t="str">
        <f t="shared" si="1"/>
        <v>Gröftur - innan svæðis</v>
      </c>
      <c r="J28" s="95" t="str">
        <f t="shared" si="1"/>
        <v>m3</v>
      </c>
      <c r="K28" s="96">
        <f t="shared" si="1"/>
        <v>970</v>
      </c>
      <c r="L28" s="97">
        <f t="shared" si="3"/>
        <v>42491</v>
      </c>
      <c r="M28" s="98"/>
      <c r="N28" s="99">
        <f t="shared" si="4"/>
        <v>59</v>
      </c>
      <c r="O28" s="100" t="str">
        <f t="shared" si="4"/>
        <v>Brjóta og fjarlægja kantstein</v>
      </c>
      <c r="P28" s="95" t="str">
        <f t="shared" si="4"/>
        <v>m</v>
      </c>
      <c r="Q28" s="96">
        <f t="shared" si="4"/>
        <v>1300</v>
      </c>
      <c r="R28" s="92">
        <f t="shared" si="5"/>
        <v>42583</v>
      </c>
    </row>
    <row r="29" spans="1:18" ht="17.25" x14ac:dyDescent="0.25">
      <c r="A29" s="90">
        <v>25</v>
      </c>
      <c r="B29" s="115" t="s">
        <v>133</v>
      </c>
      <c r="C29" s="52" t="s">
        <v>131</v>
      </c>
      <c r="D29" s="51"/>
      <c r="E29" s="116"/>
      <c r="H29" s="93">
        <f t="shared" si="1"/>
        <v>25</v>
      </c>
      <c r="I29" s="94" t="str">
        <f t="shared" si="1"/>
        <v>Fylling</v>
      </c>
      <c r="J29" s="95" t="str">
        <f t="shared" si="1"/>
        <v>m3</v>
      </c>
      <c r="K29" s="96">
        <f t="shared" si="1"/>
        <v>0</v>
      </c>
      <c r="L29" s="97" t="str">
        <f t="shared" si="3"/>
        <v/>
      </c>
      <c r="M29" s="98"/>
      <c r="N29" s="99">
        <f t="shared" si="4"/>
        <v>60</v>
      </c>
      <c r="O29" s="100" t="str">
        <f t="shared" si="4"/>
        <v>Brjóta upp steypta gangst.</v>
      </c>
      <c r="P29" s="95" t="str">
        <f t="shared" si="4"/>
        <v>m2</v>
      </c>
      <c r="Q29" s="96">
        <f t="shared" si="4"/>
        <v>3500</v>
      </c>
      <c r="R29" s="92">
        <f t="shared" si="5"/>
        <v>42522</v>
      </c>
    </row>
    <row r="30" spans="1:18" ht="17.25" x14ac:dyDescent="0.25">
      <c r="A30" s="90">
        <v>26</v>
      </c>
      <c r="B30" s="115" t="s">
        <v>134</v>
      </c>
      <c r="C30" s="52" t="s">
        <v>131</v>
      </c>
      <c r="D30" s="51"/>
      <c r="E30" s="116"/>
      <c r="H30" s="93">
        <f t="shared" si="1"/>
        <v>26</v>
      </c>
      <c r="I30" s="94" t="str">
        <f t="shared" si="1"/>
        <v>Malarfylling</v>
      </c>
      <c r="J30" s="95" t="str">
        <f t="shared" si="1"/>
        <v>m3</v>
      </c>
      <c r="K30" s="96">
        <f t="shared" si="1"/>
        <v>0</v>
      </c>
      <c r="L30" s="97" t="str">
        <f t="shared" si="3"/>
        <v/>
      </c>
      <c r="M30" s="98"/>
      <c r="N30" s="99">
        <f t="shared" si="4"/>
        <v>61</v>
      </c>
      <c r="O30" s="100" t="str">
        <f t="shared" si="4"/>
        <v>Steypa gangst. með kantst.</v>
      </c>
      <c r="P30" s="95" t="str">
        <f t="shared" si="4"/>
        <v>m2</v>
      </c>
      <c r="Q30" s="96">
        <f t="shared" si="4"/>
        <v>9000</v>
      </c>
      <c r="R30" s="92">
        <f t="shared" si="5"/>
        <v>42522</v>
      </c>
    </row>
    <row r="31" spans="1:18" ht="17.25" x14ac:dyDescent="0.25">
      <c r="A31" s="90">
        <v>27</v>
      </c>
      <c r="B31" s="115" t="s">
        <v>135</v>
      </c>
      <c r="C31" s="52" t="s">
        <v>131</v>
      </c>
      <c r="D31" s="51">
        <v>1670</v>
      </c>
      <c r="E31" s="92">
        <v>42491</v>
      </c>
      <c r="H31" s="93">
        <f t="shared" si="1"/>
        <v>27</v>
      </c>
      <c r="I31" s="94" t="str">
        <f t="shared" si="1"/>
        <v>Malarfylling burðarlag</v>
      </c>
      <c r="J31" s="95" t="str">
        <f t="shared" si="1"/>
        <v>m3</v>
      </c>
      <c r="K31" s="96">
        <f t="shared" si="1"/>
        <v>1670</v>
      </c>
      <c r="L31" s="97">
        <f t="shared" si="3"/>
        <v>42491</v>
      </c>
      <c r="M31" s="98"/>
      <c r="N31" s="99">
        <f t="shared" si="4"/>
        <v>62</v>
      </c>
      <c r="O31" s="100" t="str">
        <f t="shared" si="4"/>
        <v>Malbika gangstétt</v>
      </c>
      <c r="P31" s="95" t="str">
        <f t="shared" si="4"/>
        <v>m2</v>
      </c>
      <c r="Q31" s="96">
        <f t="shared" si="4"/>
        <v>4800</v>
      </c>
      <c r="R31" s="92">
        <f t="shared" si="5"/>
        <v>42491</v>
      </c>
    </row>
    <row r="32" spans="1:18" x14ac:dyDescent="0.25">
      <c r="A32" s="90">
        <v>28</v>
      </c>
      <c r="B32" s="117" t="s">
        <v>136</v>
      </c>
      <c r="C32" s="52" t="s">
        <v>137</v>
      </c>
      <c r="D32" s="51">
        <v>2500</v>
      </c>
      <c r="E32" s="92">
        <v>42491</v>
      </c>
      <c r="H32" s="93">
        <f t="shared" si="1"/>
        <v>28</v>
      </c>
      <c r="I32" s="94" t="str">
        <f t="shared" si="1"/>
        <v>Sögun á steypu / malbiki</v>
      </c>
      <c r="J32" s="95" t="str">
        <f t="shared" si="1"/>
        <v>m</v>
      </c>
      <c r="K32" s="96">
        <f t="shared" si="1"/>
        <v>2500</v>
      </c>
      <c r="L32" s="97">
        <f t="shared" si="3"/>
        <v>42491</v>
      </c>
      <c r="M32" s="98"/>
      <c r="N32" s="99">
        <f t="shared" si="4"/>
        <v>63</v>
      </c>
      <c r="O32" s="100" t="str">
        <f t="shared" si="4"/>
        <v>Borað fyrir steyputeinum</v>
      </c>
      <c r="P32" s="95" t="str">
        <f t="shared" si="4"/>
        <v>stk.</v>
      </c>
      <c r="Q32" s="96">
        <f t="shared" si="4"/>
        <v>1000</v>
      </c>
      <c r="R32" s="92">
        <f t="shared" si="5"/>
        <v>42491</v>
      </c>
    </row>
    <row r="33" spans="1:18" ht="17.25" x14ac:dyDescent="0.25">
      <c r="A33" s="90">
        <v>29</v>
      </c>
      <c r="B33" s="118" t="s">
        <v>138</v>
      </c>
      <c r="C33" s="52" t="s">
        <v>128</v>
      </c>
      <c r="D33" s="51">
        <v>1500</v>
      </c>
      <c r="E33" s="92">
        <v>42491</v>
      </c>
      <c r="H33" s="93">
        <f t="shared" si="1"/>
        <v>29</v>
      </c>
      <c r="I33" s="94" t="str">
        <f t="shared" si="1"/>
        <v>Fræsing yfirborðs</v>
      </c>
      <c r="J33" s="95" t="str">
        <f t="shared" si="1"/>
        <v>m2</v>
      </c>
      <c r="K33" s="96">
        <f t="shared" si="1"/>
        <v>1500</v>
      </c>
      <c r="L33" s="97">
        <f t="shared" si="3"/>
        <v>42491</v>
      </c>
      <c r="M33" s="98"/>
      <c r="N33" s="99">
        <f t="shared" si="4"/>
        <v>64</v>
      </c>
      <c r="O33" s="100" t="str">
        <f t="shared" si="4"/>
        <v>Járnamotta</v>
      </c>
      <c r="P33" s="95" t="str">
        <f t="shared" si="4"/>
        <v>m2</v>
      </c>
      <c r="Q33" s="96">
        <f t="shared" si="4"/>
        <v>1700</v>
      </c>
      <c r="R33" s="92">
        <f t="shared" si="5"/>
        <v>42491</v>
      </c>
    </row>
    <row r="34" spans="1:18" ht="17.25" x14ac:dyDescent="0.25">
      <c r="A34" s="90">
        <v>30</v>
      </c>
      <c r="B34" s="118" t="s">
        <v>139</v>
      </c>
      <c r="C34" s="52" t="s">
        <v>128</v>
      </c>
      <c r="D34" s="51">
        <v>1500</v>
      </c>
      <c r="E34" s="92">
        <v>42461</v>
      </c>
      <c r="H34" s="93">
        <f t="shared" si="1"/>
        <v>30</v>
      </c>
      <c r="I34" s="94" t="str">
        <f t="shared" si="1"/>
        <v>Fræsing yfirborðs fínfræsing</v>
      </c>
      <c r="J34" s="95" t="str">
        <f t="shared" si="1"/>
        <v>m2</v>
      </c>
      <c r="K34" s="96">
        <f t="shared" si="1"/>
        <v>1500</v>
      </c>
      <c r="L34" s="97">
        <f t="shared" si="3"/>
        <v>42461</v>
      </c>
      <c r="M34" s="98"/>
      <c r="N34" s="99">
        <f t="shared" si="4"/>
        <v>65</v>
      </c>
      <c r="O34" s="100" t="str">
        <f t="shared" si="4"/>
        <v>Steypa C 35</v>
      </c>
      <c r="P34" s="95" t="str">
        <f t="shared" si="4"/>
        <v>m3</v>
      </c>
      <c r="Q34" s="96">
        <f t="shared" si="4"/>
        <v>32000</v>
      </c>
      <c r="R34" s="92">
        <f t="shared" si="5"/>
        <v>42491</v>
      </c>
    </row>
    <row r="35" spans="1:18" x14ac:dyDescent="0.25">
      <c r="A35" s="90">
        <v>31</v>
      </c>
      <c r="B35" s="118" t="s">
        <v>140</v>
      </c>
      <c r="C35" s="52" t="s">
        <v>137</v>
      </c>
      <c r="D35" s="51">
        <v>1800</v>
      </c>
      <c r="E35" s="92">
        <v>42461</v>
      </c>
      <c r="H35" s="93">
        <f t="shared" si="1"/>
        <v>31</v>
      </c>
      <c r="I35" s="94" t="str">
        <f t="shared" si="1"/>
        <v>Fræsa fláa</v>
      </c>
      <c r="J35" s="95" t="str">
        <f t="shared" si="1"/>
        <v>m</v>
      </c>
      <c r="K35" s="96">
        <f t="shared" si="1"/>
        <v>1800</v>
      </c>
      <c r="L35" s="97">
        <f t="shared" si="3"/>
        <v>42461</v>
      </c>
      <c r="M35" s="98"/>
      <c r="N35" s="99">
        <f t="shared" si="4"/>
        <v>66</v>
      </c>
      <c r="O35" s="100" t="str">
        <f t="shared" si="4"/>
        <v>Bendid. HaTelit C 40/17</v>
      </c>
      <c r="P35" s="95" t="str">
        <f t="shared" si="4"/>
        <v>m2</v>
      </c>
      <c r="Q35" s="96">
        <f t="shared" si="4"/>
        <v>422</v>
      </c>
      <c r="R35" s="92">
        <f t="shared" si="5"/>
        <v>42522</v>
      </c>
    </row>
    <row r="36" spans="1:18" x14ac:dyDescent="0.25">
      <c r="A36" s="90">
        <v>32</v>
      </c>
      <c r="B36" s="118" t="s">
        <v>141</v>
      </c>
      <c r="C36" s="52" t="s">
        <v>142</v>
      </c>
      <c r="D36" s="51">
        <v>3000</v>
      </c>
      <c r="E36" s="92">
        <v>42461</v>
      </c>
      <c r="H36" s="93">
        <f t="shared" si="1"/>
        <v>32</v>
      </c>
      <c r="I36" s="94" t="str">
        <f t="shared" si="1"/>
        <v>Fræsa ramma við niðurföll</v>
      </c>
      <c r="J36" s="95" t="str">
        <f t="shared" si="1"/>
        <v>stk.</v>
      </c>
      <c r="K36" s="96">
        <f t="shared" si="1"/>
        <v>3000</v>
      </c>
      <c r="L36" s="97">
        <f t="shared" si="3"/>
        <v>42461</v>
      </c>
      <c r="M36" s="98"/>
      <c r="N36" s="99">
        <f t="shared" si="4"/>
        <v>67</v>
      </c>
      <c r="O36" s="100" t="str">
        <f t="shared" si="4"/>
        <v>Bendid. Samigrid XP 50</v>
      </c>
      <c r="P36" s="95" t="str">
        <f t="shared" si="4"/>
        <v>m2</v>
      </c>
      <c r="Q36" s="96">
        <f t="shared" si="4"/>
        <v>734</v>
      </c>
      <c r="R36" s="92">
        <f t="shared" si="5"/>
        <v>42522</v>
      </c>
    </row>
    <row r="37" spans="1:18" x14ac:dyDescent="0.25">
      <c r="A37" s="90">
        <v>33</v>
      </c>
      <c r="B37" s="118" t="s">
        <v>143</v>
      </c>
      <c r="C37" s="52" t="s">
        <v>142</v>
      </c>
      <c r="D37" s="51">
        <v>8500</v>
      </c>
      <c r="E37" s="92">
        <v>42461</v>
      </c>
      <c r="H37" s="93">
        <f t="shared" si="1"/>
        <v>33</v>
      </c>
      <c r="I37" s="94" t="str">
        <f t="shared" si="1"/>
        <v>Taka upp götujárn - brunnur</v>
      </c>
      <c r="J37" s="95" t="str">
        <f t="shared" si="1"/>
        <v>stk.</v>
      </c>
      <c r="K37" s="96">
        <f t="shared" si="1"/>
        <v>8500</v>
      </c>
      <c r="L37" s="97">
        <f t="shared" si="3"/>
        <v>42461</v>
      </c>
      <c r="M37" s="98"/>
      <c r="N37" s="99">
        <f t="shared" si="4"/>
        <v>68</v>
      </c>
      <c r="O37" s="100" t="str">
        <f t="shared" si="4"/>
        <v>Vinna / efni við dúka</v>
      </c>
      <c r="P37" s="95" t="str">
        <f t="shared" si="4"/>
        <v>m2</v>
      </c>
      <c r="Q37" s="96">
        <f t="shared" si="4"/>
        <v>350</v>
      </c>
      <c r="R37" s="92">
        <f t="shared" si="5"/>
        <v>42614</v>
      </c>
    </row>
    <row r="38" spans="1:18" x14ac:dyDescent="0.25">
      <c r="A38" s="90">
        <v>34</v>
      </c>
      <c r="B38" s="118" t="s">
        <v>144</v>
      </c>
      <c r="C38" s="52" t="s">
        <v>142</v>
      </c>
      <c r="D38" s="51">
        <v>5700</v>
      </c>
      <c r="E38" s="92">
        <v>42461</v>
      </c>
      <c r="H38" s="93">
        <f t="shared" si="1"/>
        <v>34</v>
      </c>
      <c r="I38" s="94" t="str">
        <f t="shared" si="1"/>
        <v>Taka upp götujárn - vatnssp.</v>
      </c>
      <c r="J38" s="95" t="str">
        <f t="shared" si="1"/>
        <v>stk.</v>
      </c>
      <c r="K38" s="96">
        <f t="shared" si="1"/>
        <v>5700</v>
      </c>
      <c r="L38" s="97">
        <f t="shared" si="3"/>
        <v>42461</v>
      </c>
      <c r="M38" s="98"/>
      <c r="N38" s="99">
        <f t="shared" si="4"/>
        <v>69</v>
      </c>
      <c r="O38" s="100">
        <f t="shared" si="4"/>
        <v>0</v>
      </c>
      <c r="P38" s="95">
        <f t="shared" si="4"/>
        <v>0</v>
      </c>
      <c r="Q38" s="96">
        <f t="shared" si="4"/>
        <v>0</v>
      </c>
      <c r="R38" s="92" t="str">
        <f t="shared" si="5"/>
        <v/>
      </c>
    </row>
    <row r="39" spans="1:18" x14ac:dyDescent="0.25">
      <c r="A39" s="90">
        <v>35</v>
      </c>
      <c r="B39" s="118" t="s">
        <v>145</v>
      </c>
      <c r="C39" s="52" t="s">
        <v>142</v>
      </c>
      <c r="D39" s="51">
        <v>5700</v>
      </c>
      <c r="E39" s="92">
        <v>42461</v>
      </c>
      <c r="H39" s="93">
        <f t="shared" si="1"/>
        <v>35</v>
      </c>
      <c r="I39" s="94" t="str">
        <f t="shared" si="1"/>
        <v>Taka upp götujárn - niðurfall</v>
      </c>
      <c r="J39" s="95" t="str">
        <f t="shared" si="1"/>
        <v>stk.</v>
      </c>
      <c r="K39" s="96">
        <f t="shared" si="1"/>
        <v>5700</v>
      </c>
      <c r="L39" s="97">
        <f t="shared" si="3"/>
        <v>42461</v>
      </c>
      <c r="M39" s="98"/>
      <c r="N39" s="99">
        <f t="shared" si="4"/>
        <v>70</v>
      </c>
      <c r="O39" s="100">
        <f t="shared" si="4"/>
        <v>0</v>
      </c>
      <c r="P39" s="95">
        <f t="shared" si="4"/>
        <v>0</v>
      </c>
      <c r="Q39" s="96">
        <f t="shared" si="4"/>
        <v>0</v>
      </c>
      <c r="R39" s="92" t="str">
        <f t="shared" si="5"/>
        <v/>
      </c>
    </row>
    <row r="40" spans="1:18" ht="17.25" x14ac:dyDescent="0.25">
      <c r="A40" s="90">
        <v>36</v>
      </c>
      <c r="B40" s="117" t="s">
        <v>146</v>
      </c>
      <c r="C40" s="52" t="s">
        <v>128</v>
      </c>
      <c r="D40" s="51">
        <v>900</v>
      </c>
      <c r="E40" s="92">
        <v>42491</v>
      </c>
      <c r="M40" s="74"/>
    </row>
    <row r="41" spans="1:18" ht="17.25" x14ac:dyDescent="0.25">
      <c r="A41" s="90">
        <v>37</v>
      </c>
      <c r="B41" s="118" t="s">
        <v>147</v>
      </c>
      <c r="C41" s="52" t="s">
        <v>128</v>
      </c>
      <c r="D41" s="51">
        <v>2300</v>
      </c>
      <c r="E41" s="92">
        <v>42491</v>
      </c>
    </row>
    <row r="42" spans="1:18" ht="17.25" x14ac:dyDescent="0.25">
      <c r="A42" s="90">
        <v>38</v>
      </c>
      <c r="B42" s="118" t="s">
        <v>148</v>
      </c>
      <c r="C42" s="52" t="s">
        <v>128</v>
      </c>
      <c r="D42" s="51">
        <v>4700</v>
      </c>
      <c r="E42" s="92">
        <v>42491</v>
      </c>
    </row>
    <row r="43" spans="1:18" ht="17.25" x14ac:dyDescent="0.25">
      <c r="A43" s="90">
        <v>39</v>
      </c>
      <c r="B43" s="118" t="s">
        <v>149</v>
      </c>
      <c r="C43" s="52" t="s">
        <v>128</v>
      </c>
      <c r="D43" s="51"/>
      <c r="E43" s="92"/>
    </row>
    <row r="44" spans="1:18" ht="17.25" x14ac:dyDescent="0.25">
      <c r="A44" s="90">
        <v>40</v>
      </c>
      <c r="B44" s="118" t="s">
        <v>150</v>
      </c>
      <c r="C44" s="52" t="s">
        <v>128</v>
      </c>
      <c r="D44" s="51"/>
      <c r="E44" s="92"/>
    </row>
    <row r="45" spans="1:18" x14ac:dyDescent="0.25">
      <c r="A45" s="90">
        <v>41</v>
      </c>
      <c r="B45" s="118" t="s">
        <v>151</v>
      </c>
      <c r="C45" s="119" t="s">
        <v>137</v>
      </c>
      <c r="D45" s="51">
        <v>3800</v>
      </c>
      <c r="E45" s="92">
        <v>42491</v>
      </c>
    </row>
    <row r="46" spans="1:18" x14ac:dyDescent="0.25">
      <c r="A46" s="90">
        <v>42</v>
      </c>
      <c r="B46" s="91"/>
      <c r="C46" s="91"/>
      <c r="D46" s="51"/>
      <c r="E46" s="92">
        <v>42491</v>
      </c>
    </row>
    <row r="47" spans="1:18" x14ac:dyDescent="0.25">
      <c r="A47" s="90">
        <v>43</v>
      </c>
      <c r="B47" s="94" t="s">
        <v>152</v>
      </c>
      <c r="C47" s="119" t="s">
        <v>142</v>
      </c>
      <c r="D47" s="51">
        <v>65000</v>
      </c>
      <c r="E47" s="92">
        <v>42491</v>
      </c>
    </row>
    <row r="48" spans="1:18" x14ac:dyDescent="0.25">
      <c r="A48" s="90">
        <v>44</v>
      </c>
      <c r="B48" s="117" t="s">
        <v>153</v>
      </c>
      <c r="C48" s="119" t="s">
        <v>137</v>
      </c>
      <c r="D48" s="51">
        <v>14300</v>
      </c>
      <c r="E48" s="92">
        <v>42491</v>
      </c>
    </row>
    <row r="49" spans="1:6" x14ac:dyDescent="0.25">
      <c r="A49" s="90">
        <v>45</v>
      </c>
      <c r="B49" s="91" t="s">
        <v>154</v>
      </c>
      <c r="C49" s="119" t="s">
        <v>107</v>
      </c>
      <c r="D49" s="51">
        <v>180000</v>
      </c>
      <c r="E49" s="92">
        <v>42491</v>
      </c>
    </row>
    <row r="50" spans="1:6" x14ac:dyDescent="0.25">
      <c r="A50" s="90">
        <v>46</v>
      </c>
      <c r="B50" s="91" t="s">
        <v>155</v>
      </c>
      <c r="C50" s="119" t="s">
        <v>107</v>
      </c>
      <c r="D50" s="51">
        <v>72300</v>
      </c>
      <c r="E50" s="92">
        <v>42491</v>
      </c>
    </row>
    <row r="51" spans="1:6" x14ac:dyDescent="0.25">
      <c r="A51" s="90">
        <v>47</v>
      </c>
      <c r="B51" s="91" t="s">
        <v>156</v>
      </c>
      <c r="C51" s="119" t="s">
        <v>137</v>
      </c>
      <c r="D51" s="51">
        <v>3780</v>
      </c>
      <c r="E51" s="92">
        <v>42370</v>
      </c>
    </row>
    <row r="52" spans="1:6" x14ac:dyDescent="0.25">
      <c r="A52" s="90">
        <v>48</v>
      </c>
      <c r="B52" s="91" t="s">
        <v>157</v>
      </c>
      <c r="C52" s="119" t="s">
        <v>137</v>
      </c>
      <c r="D52" s="51">
        <v>1950</v>
      </c>
      <c r="E52" s="92">
        <v>42370</v>
      </c>
    </row>
    <row r="53" spans="1:6" x14ac:dyDescent="0.25">
      <c r="A53" s="90">
        <v>49</v>
      </c>
      <c r="B53" s="91"/>
      <c r="C53" s="91"/>
      <c r="D53" s="51"/>
      <c r="E53" s="92"/>
    </row>
    <row r="54" spans="1:6" x14ac:dyDescent="0.25">
      <c r="A54" s="90">
        <v>50</v>
      </c>
      <c r="B54" s="91"/>
      <c r="C54" s="91"/>
      <c r="D54" s="51"/>
      <c r="E54" s="116"/>
    </row>
    <row r="55" spans="1:6" x14ac:dyDescent="0.25">
      <c r="A55" s="90">
        <v>51</v>
      </c>
      <c r="B55" s="120" t="s">
        <v>158</v>
      </c>
      <c r="C55" s="119" t="s">
        <v>137</v>
      </c>
      <c r="D55" s="51">
        <v>3000</v>
      </c>
      <c r="E55" s="92">
        <v>42491</v>
      </c>
    </row>
    <row r="56" spans="1:6" x14ac:dyDescent="0.25">
      <c r="A56" s="90">
        <v>52</v>
      </c>
      <c r="B56" s="91"/>
      <c r="C56" s="91"/>
      <c r="D56" s="51"/>
      <c r="E56" s="116"/>
    </row>
    <row r="57" spans="1:6" x14ac:dyDescent="0.25">
      <c r="A57" s="90">
        <v>53</v>
      </c>
      <c r="B57" s="91"/>
      <c r="C57" s="91"/>
      <c r="D57" s="51"/>
      <c r="E57" s="116"/>
    </row>
    <row r="58" spans="1:6" ht="17.25" x14ac:dyDescent="0.25">
      <c r="A58" s="90">
        <v>54</v>
      </c>
      <c r="B58" s="91" t="s">
        <v>159</v>
      </c>
      <c r="C58" s="52" t="s">
        <v>131</v>
      </c>
      <c r="D58" s="51">
        <v>7500</v>
      </c>
      <c r="E58" s="92">
        <v>42370</v>
      </c>
    </row>
    <row r="59" spans="1:6" ht="17.25" x14ac:dyDescent="0.25">
      <c r="A59" s="90">
        <v>55</v>
      </c>
      <c r="B59" s="91" t="s">
        <v>160</v>
      </c>
      <c r="C59" s="52" t="s">
        <v>131</v>
      </c>
      <c r="D59" s="51">
        <v>8500</v>
      </c>
      <c r="E59" s="92">
        <v>42370</v>
      </c>
    </row>
    <row r="60" spans="1:6" ht="17.25" x14ac:dyDescent="0.25">
      <c r="A60" s="90">
        <v>56</v>
      </c>
      <c r="B60" s="91" t="s">
        <v>161</v>
      </c>
      <c r="C60" s="119" t="s">
        <v>128</v>
      </c>
      <c r="D60" s="51">
        <v>1000</v>
      </c>
      <c r="E60" s="92">
        <v>42491</v>
      </c>
    </row>
    <row r="61" spans="1:6" x14ac:dyDescent="0.25">
      <c r="A61" s="90">
        <v>57</v>
      </c>
      <c r="B61" s="91"/>
      <c r="C61" s="91"/>
      <c r="D61" s="51"/>
      <c r="E61" s="116"/>
    </row>
    <row r="62" spans="1:6" x14ac:dyDescent="0.25">
      <c r="A62" s="90">
        <v>58</v>
      </c>
      <c r="B62" s="91"/>
      <c r="C62" s="91"/>
      <c r="D62" s="51"/>
      <c r="E62" s="116"/>
    </row>
    <row r="63" spans="1:6" x14ac:dyDescent="0.25">
      <c r="A63" s="90">
        <v>59</v>
      </c>
      <c r="B63" s="91" t="s">
        <v>162</v>
      </c>
      <c r="C63" s="119" t="s">
        <v>137</v>
      </c>
      <c r="D63" s="121">
        <v>1300</v>
      </c>
      <c r="E63" s="122">
        <v>42583</v>
      </c>
      <c r="F63" s="123" t="s">
        <v>163</v>
      </c>
    </row>
    <row r="64" spans="1:6" ht="17.25" x14ac:dyDescent="0.25">
      <c r="A64" s="90">
        <v>60</v>
      </c>
      <c r="B64" s="91" t="s">
        <v>164</v>
      </c>
      <c r="C64" s="119" t="s">
        <v>128</v>
      </c>
      <c r="D64" s="51">
        <v>3500</v>
      </c>
      <c r="E64" s="92">
        <v>42522</v>
      </c>
    </row>
    <row r="65" spans="1:6" ht="17.25" x14ac:dyDescent="0.25">
      <c r="A65" s="90">
        <v>61</v>
      </c>
      <c r="B65" s="91" t="s">
        <v>165</v>
      </c>
      <c r="C65" s="119" t="s">
        <v>128</v>
      </c>
      <c r="D65" s="51">
        <v>9000</v>
      </c>
      <c r="E65" s="92">
        <v>42522</v>
      </c>
    </row>
    <row r="66" spans="1:6" ht="17.25" x14ac:dyDescent="0.25">
      <c r="A66" s="90">
        <v>62</v>
      </c>
      <c r="B66" s="91" t="s">
        <v>166</v>
      </c>
      <c r="C66" s="119" t="s">
        <v>128</v>
      </c>
      <c r="D66" s="121">
        <v>4800</v>
      </c>
      <c r="E66" s="122">
        <v>42491</v>
      </c>
      <c r="F66" s="123" t="s">
        <v>163</v>
      </c>
    </row>
    <row r="67" spans="1:6" x14ac:dyDescent="0.25">
      <c r="A67" s="90">
        <v>63</v>
      </c>
      <c r="B67" s="91" t="s">
        <v>167</v>
      </c>
      <c r="C67" s="52" t="s">
        <v>142</v>
      </c>
      <c r="D67" s="51">
        <v>1000</v>
      </c>
      <c r="E67" s="92">
        <v>42491</v>
      </c>
      <c r="F67" s="123"/>
    </row>
    <row r="68" spans="1:6" ht="17.25" x14ac:dyDescent="0.25">
      <c r="A68" s="90">
        <v>64</v>
      </c>
      <c r="B68" s="91" t="s">
        <v>168</v>
      </c>
      <c r="C68" s="119" t="s">
        <v>128</v>
      </c>
      <c r="D68" s="51">
        <v>1700</v>
      </c>
      <c r="E68" s="92">
        <v>42491</v>
      </c>
      <c r="F68" s="123"/>
    </row>
    <row r="69" spans="1:6" ht="17.25" x14ac:dyDescent="0.25">
      <c r="A69" s="90">
        <v>65</v>
      </c>
      <c r="B69" s="91" t="s">
        <v>169</v>
      </c>
      <c r="C69" s="52" t="s">
        <v>131</v>
      </c>
      <c r="D69" s="121">
        <v>32000</v>
      </c>
      <c r="E69" s="92">
        <v>42491</v>
      </c>
      <c r="F69" s="123"/>
    </row>
    <row r="70" spans="1:6" ht="17.25" x14ac:dyDescent="0.25">
      <c r="A70" s="90">
        <v>66</v>
      </c>
      <c r="B70" s="91" t="s">
        <v>170</v>
      </c>
      <c r="C70" s="119" t="s">
        <v>128</v>
      </c>
      <c r="D70" s="51">
        <v>422</v>
      </c>
      <c r="E70" s="92">
        <v>42522</v>
      </c>
    </row>
    <row r="71" spans="1:6" ht="17.25" x14ac:dyDescent="0.25">
      <c r="A71" s="90">
        <v>67</v>
      </c>
      <c r="B71" s="91" t="s">
        <v>171</v>
      </c>
      <c r="C71" s="119" t="s">
        <v>128</v>
      </c>
      <c r="D71" s="51">
        <v>734</v>
      </c>
      <c r="E71" s="92">
        <v>42522</v>
      </c>
    </row>
    <row r="72" spans="1:6" ht="17.25" x14ac:dyDescent="0.25">
      <c r="A72" s="90">
        <v>68</v>
      </c>
      <c r="B72" s="91" t="s">
        <v>172</v>
      </c>
      <c r="C72" s="119" t="s">
        <v>128</v>
      </c>
      <c r="D72" s="121">
        <v>350</v>
      </c>
      <c r="E72" s="122">
        <v>42614</v>
      </c>
      <c r="F72" s="123" t="s">
        <v>163</v>
      </c>
    </row>
    <row r="73" spans="1:6" x14ac:dyDescent="0.25">
      <c r="A73" s="90">
        <v>69</v>
      </c>
      <c r="B73" s="91"/>
      <c r="C73" s="91"/>
      <c r="D73" s="51"/>
      <c r="E73" s="116"/>
    </row>
    <row r="74" spans="1:6" x14ac:dyDescent="0.25">
      <c r="A74" s="90">
        <v>70</v>
      </c>
      <c r="B74" s="91"/>
      <c r="C74" s="91"/>
      <c r="D74" s="51"/>
      <c r="E74" s="116"/>
    </row>
    <row r="75" spans="1:6" x14ac:dyDescent="0.25">
      <c r="A75" s="90"/>
      <c r="B75" s="91"/>
      <c r="C75" s="91"/>
      <c r="D75" s="51"/>
      <c r="E75" s="116"/>
    </row>
  </sheetData>
  <mergeCells count="2">
    <mergeCell ref="B1:E2"/>
    <mergeCell ref="H1:R2"/>
  </mergeCells>
  <printOptions horizontalCentered="1" verticalCentered="1"/>
  <pageMargins left="0.51181102362204722" right="0.51181102362204722" top="0.15748031496062992" bottom="0.15748031496062992"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opLeftCell="A19" zoomScaleNormal="100" workbookViewId="0">
      <selection activeCell="L35" sqref="L35"/>
    </sheetView>
  </sheetViews>
  <sheetFormatPr defaultRowHeight="15" x14ac:dyDescent="0.25"/>
  <cols>
    <col min="1" max="1" width="5.5703125" style="38" customWidth="1"/>
    <col min="2" max="2" width="7.5703125" customWidth="1"/>
    <col min="3" max="3" width="28.5703125" customWidth="1"/>
    <col min="4" max="4" width="9.140625" customWidth="1"/>
    <col min="5" max="5" width="7.5703125" customWidth="1"/>
    <col min="6" max="6" width="10.5703125" customWidth="1"/>
    <col min="7" max="7" width="12.5703125" customWidth="1"/>
    <col min="8" max="8" width="8.5703125" style="42" customWidth="1"/>
  </cols>
  <sheetData>
    <row r="1" spans="1:8" ht="19.5" customHeight="1" x14ac:dyDescent="0.25">
      <c r="C1" s="247" t="s">
        <v>44</v>
      </c>
    </row>
    <row r="2" spans="1:8" ht="19.5" customHeight="1" x14ac:dyDescent="0.25">
      <c r="C2" s="247"/>
      <c r="E2" s="43" t="s">
        <v>75</v>
      </c>
      <c r="F2" s="124">
        <v>42621</v>
      </c>
    </row>
    <row r="3" spans="1:8" ht="15.75" x14ac:dyDescent="0.25">
      <c r="B3" s="44"/>
      <c r="C3" s="38" t="s">
        <v>174</v>
      </c>
      <c r="H3" s="45" t="s">
        <v>76</v>
      </c>
    </row>
    <row r="4" spans="1:8" x14ac:dyDescent="0.25">
      <c r="A4" s="46" t="s">
        <v>77</v>
      </c>
      <c r="B4" s="46" t="s">
        <v>78</v>
      </c>
      <c r="D4" s="45" t="s">
        <v>79</v>
      </c>
      <c r="E4" s="47" t="s">
        <v>80</v>
      </c>
      <c r="F4" s="45" t="s">
        <v>76</v>
      </c>
      <c r="G4" s="45" t="s">
        <v>65</v>
      </c>
      <c r="H4" s="48" t="s">
        <v>81</v>
      </c>
    </row>
    <row r="5" spans="1:8" x14ac:dyDescent="0.25">
      <c r="A5" s="46" t="s">
        <v>82</v>
      </c>
      <c r="B5" s="49" t="s">
        <v>83</v>
      </c>
      <c r="C5" s="50" t="s">
        <v>84</v>
      </c>
      <c r="D5" s="51"/>
      <c r="E5" s="52"/>
      <c r="F5" s="51"/>
      <c r="G5" s="52"/>
    </row>
    <row r="6" spans="1:8" x14ac:dyDescent="0.25">
      <c r="A6" s="46">
        <v>1</v>
      </c>
      <c r="B6" s="53"/>
      <c r="C6" s="54" t="str">
        <f>IF(A6="","",VLOOKUP(A6,'Götur einingav.'!$A$5:$E$75,2))</f>
        <v>Aðstaða</v>
      </c>
      <c r="D6" s="125">
        <v>1</v>
      </c>
      <c r="E6" s="56" t="str">
        <f>IF(A6="","",VLOOKUP(A6,'Götur einingav.'!$A$5:$E$75,3))</f>
        <v>heild</v>
      </c>
      <c r="F6" s="57">
        <f>IF(A6="","",VLOOKUP(A6,'Götur einingav.'!$A$5:$E$75,4))</f>
        <v>175000</v>
      </c>
      <c r="G6" s="55">
        <f>IF(D6="","",D6*F6)</f>
        <v>175000</v>
      </c>
      <c r="H6" s="58">
        <f>IF(F6=0,"",IF(A6="","",VLOOKUP(A6,'Götur einingav.'!$A$5:$E$75,5)))</f>
        <v>42491</v>
      </c>
    </row>
    <row r="7" spans="1:8" x14ac:dyDescent="0.25">
      <c r="A7" s="38">
        <v>2</v>
      </c>
      <c r="B7" s="53"/>
      <c r="C7" s="54" t="str">
        <f>IF(A7="","",VLOOKUP(A7,'Götur einingav.'!$A$5:$E$75,2))</f>
        <v>Öryggisráðstafanir</v>
      </c>
      <c r="D7" s="125">
        <v>1</v>
      </c>
      <c r="E7" s="56" t="str">
        <f>IF(A7="","",VLOOKUP(A7,'Götur einingav.'!$A$5:$E$75,3))</f>
        <v>heild</v>
      </c>
      <c r="F7" s="57">
        <f>IF(A7="","",VLOOKUP(A7,'Götur einingav.'!$A$5:$E$75,4))</f>
        <v>110000</v>
      </c>
      <c r="G7" s="55">
        <f>IF(D7="","",D7*F7)</f>
        <v>110000</v>
      </c>
      <c r="H7" s="58">
        <f>IF(F7=0,"",IF(A7="","",VLOOKUP(A7,'Götur einingav.'!$A$5:$E$75,5)))</f>
        <v>42491</v>
      </c>
    </row>
    <row r="8" spans="1:8" x14ac:dyDescent="0.25">
      <c r="A8" s="38">
        <v>3</v>
      </c>
      <c r="B8" s="59"/>
      <c r="C8" s="54" t="str">
        <f>IF(A8="","",VLOOKUP(A8,'Götur einingav.'!$A$5:$E$75,2))</f>
        <v>Merkingar</v>
      </c>
      <c r="D8" s="125">
        <v>1</v>
      </c>
      <c r="E8" s="56" t="str">
        <f>IF(A8="","",VLOOKUP(A8,'Götur einingav.'!$A$5:$E$75,3))</f>
        <v>heild</v>
      </c>
      <c r="F8" s="57">
        <f>IF(A8="","",VLOOKUP(A8,'Götur einingav.'!$A$5:$E$75,4))</f>
        <v>110000</v>
      </c>
      <c r="G8" s="55">
        <f>IF(D8="","",D8*F8)</f>
        <v>110000</v>
      </c>
      <c r="H8" s="58">
        <f>IF(F8=0,"",IF(A8="","",VLOOKUP(A8,'Götur einingav.'!$A$5:$E$75,5)))</f>
        <v>42491</v>
      </c>
    </row>
    <row r="9" spans="1:8" x14ac:dyDescent="0.25">
      <c r="A9" s="46">
        <v>4</v>
      </c>
      <c r="B9" s="53"/>
      <c r="C9" s="54" t="str">
        <f>IF(A9="","",VLOOKUP(A9,'Götur einingav.'!$A$5:$E$75,2))</f>
        <v>Frágangur í verklok</v>
      </c>
      <c r="D9" s="125">
        <v>1</v>
      </c>
      <c r="E9" s="56" t="str">
        <f>IF(A9="","",VLOOKUP(A9,'Götur einingav.'!$A$5:$E$75,3))</f>
        <v>heild</v>
      </c>
      <c r="F9" s="57">
        <f>IF(A9="","",VLOOKUP(A9,'Götur einingav.'!$A$5:$E$75,4))</f>
        <v>200000</v>
      </c>
      <c r="G9" s="55">
        <f>IF(D9="","",D9*F9)</f>
        <v>200000</v>
      </c>
      <c r="H9" s="58">
        <f>IF(F9=0,"",IF(A9="","",VLOOKUP(A9,'Götur einingav.'!$A$5:$E$75,5)))</f>
        <v>42491</v>
      </c>
    </row>
    <row r="10" spans="1:8" x14ac:dyDescent="0.25">
      <c r="A10" s="46">
        <v>5</v>
      </c>
      <c r="B10" s="59"/>
      <c r="C10" s="54" t="str">
        <f>IF(A10="","",VLOOKUP(A10,'Götur einingav.'!$A$5:$E$75,2))</f>
        <v>Annað</v>
      </c>
      <c r="D10" s="125">
        <v>1</v>
      </c>
      <c r="E10" s="56" t="str">
        <f>IF(A10="","",VLOOKUP(A10,'Götur einingav.'!$A$5:$E$75,3))</f>
        <v>heild</v>
      </c>
      <c r="F10" s="57">
        <f>IF(A10="","",VLOOKUP(A10,'Götur einingav.'!$A$5:$E$75,4))</f>
        <v>100000</v>
      </c>
      <c r="G10" s="55">
        <f>IF(D10="","",D10*F10)</f>
        <v>100000</v>
      </c>
      <c r="H10" s="58">
        <f>IF(F10=0,"",IF(A10="","",VLOOKUP(A10,'Götur einingav.'!$A$5:$E$75,5)))</f>
        <v>42491</v>
      </c>
    </row>
    <row r="11" spans="1:8" x14ac:dyDescent="0.25">
      <c r="B11" s="38"/>
      <c r="D11" s="60"/>
      <c r="E11" s="38"/>
      <c r="F11" s="60"/>
      <c r="G11" s="60"/>
    </row>
    <row r="12" spans="1:8" x14ac:dyDescent="0.25">
      <c r="B12" s="38"/>
      <c r="C12" s="248" t="s">
        <v>85</v>
      </c>
      <c r="D12" s="249"/>
      <c r="E12" s="249"/>
      <c r="F12" s="249"/>
      <c r="G12" s="61">
        <f>SUM(G6:G11)</f>
        <v>695000</v>
      </c>
    </row>
    <row r="13" spans="1:8" x14ac:dyDescent="0.25">
      <c r="D13" s="62"/>
      <c r="E13" s="63"/>
      <c r="G13" s="64"/>
    </row>
    <row r="14" spans="1:8" x14ac:dyDescent="0.25">
      <c r="B14" s="65" t="s">
        <v>86</v>
      </c>
      <c r="C14" s="66" t="s">
        <v>87</v>
      </c>
      <c r="D14" s="67"/>
      <c r="G14" s="64"/>
    </row>
    <row r="15" spans="1:8" x14ac:dyDescent="0.25">
      <c r="B15" s="68"/>
      <c r="C15" s="126" t="s">
        <v>88</v>
      </c>
      <c r="D15" s="69"/>
      <c r="E15" s="70"/>
      <c r="F15" s="69"/>
      <c r="G15" s="69"/>
    </row>
    <row r="16" spans="1:8" x14ac:dyDescent="0.25">
      <c r="A16" s="38">
        <v>6</v>
      </c>
      <c r="B16" s="68"/>
      <c r="C16" s="54" t="str">
        <f>IF(A16="","",VLOOKUP(A16,'Götur einingav.'!$A$5:$E$75,2))</f>
        <v>Verkamaður</v>
      </c>
      <c r="D16" s="55">
        <v>10</v>
      </c>
      <c r="E16" s="56" t="str">
        <f>IF(A16="","",VLOOKUP(A16,'Götur einingav.'!$A$5:$E$75,3))</f>
        <v>klst.</v>
      </c>
      <c r="F16" s="57">
        <f>IF(A16="","",VLOOKUP(A16,'Götur einingav.'!$A$5:$E$75,4))</f>
        <v>5500</v>
      </c>
      <c r="G16" s="55">
        <f t="shared" ref="G16:G26" si="0">IF(D16="","",D16*F16)</f>
        <v>55000</v>
      </c>
      <c r="H16" s="58">
        <f>IF(F16=0,"",IF(A16="","",VLOOKUP(A16,'Götur einingav.'!$A$5:$E$75,5)))</f>
        <v>42491</v>
      </c>
    </row>
    <row r="17" spans="1:8" x14ac:dyDescent="0.25">
      <c r="A17" s="38">
        <v>7</v>
      </c>
      <c r="B17" s="68"/>
      <c r="C17" s="54" t="str">
        <f>IF(A17="","",VLOOKUP(A17,'Götur einingav.'!$A$5:$E$75,2))</f>
        <v>Vélamenn/bílstjórar</v>
      </c>
      <c r="D17" s="55">
        <v>10</v>
      </c>
      <c r="E17" s="56" t="str">
        <f>IF(A17="","",VLOOKUP(A17,'Götur einingav.'!$A$5:$E$75,3))</f>
        <v>klst.</v>
      </c>
      <c r="F17" s="57">
        <f>IF(A17="","",VLOOKUP(A17,'Götur einingav.'!$A$5:$E$75,4))</f>
        <v>5800</v>
      </c>
      <c r="G17" s="55">
        <f t="shared" si="0"/>
        <v>58000</v>
      </c>
      <c r="H17" s="58">
        <f>IF(F17=0,"",IF(A17="","",VLOOKUP(A17,'Götur einingav.'!$A$5:$E$75,5)))</f>
        <v>42491</v>
      </c>
    </row>
    <row r="18" spans="1:8" x14ac:dyDescent="0.25">
      <c r="A18" s="38">
        <v>8</v>
      </c>
      <c r="B18" s="68"/>
      <c r="C18" s="54" t="str">
        <f>IF(A18="","",VLOOKUP(A18,'Götur einingav.'!$A$5:$E$75,2))</f>
        <v>Iðnaðarmaður</v>
      </c>
      <c r="D18" s="55">
        <v>10</v>
      </c>
      <c r="E18" s="56" t="str">
        <f>IF(A18="","",VLOOKUP(A18,'Götur einingav.'!$A$5:$E$75,3))</f>
        <v>klst.</v>
      </c>
      <c r="F18" s="57">
        <f>IF(A18="","",VLOOKUP(A18,'Götur einingav.'!$A$5:$E$75,4))</f>
        <v>8300</v>
      </c>
      <c r="G18" s="55">
        <f t="shared" si="0"/>
        <v>83000</v>
      </c>
      <c r="H18" s="58">
        <f>IF(F18=0,"",IF(A18="","",VLOOKUP(A18,'Götur einingav.'!$A$5:$E$75,5)))</f>
        <v>42491</v>
      </c>
    </row>
    <row r="19" spans="1:8" x14ac:dyDescent="0.25">
      <c r="A19" s="38">
        <v>9</v>
      </c>
      <c r="B19" s="68"/>
      <c r="C19" s="54" t="str">
        <f>IF(A19="","",VLOOKUP(A19,'Götur einingav.'!$A$5:$E$75,2))</f>
        <v>Mælingamaður</v>
      </c>
      <c r="D19" s="55">
        <v>10</v>
      </c>
      <c r="E19" s="56" t="str">
        <f>IF(A19="","",VLOOKUP(A19,'Götur einingav.'!$A$5:$E$75,3))</f>
        <v>klst.</v>
      </c>
      <c r="F19" s="57">
        <f>IF(A19="","",VLOOKUP(A19,'Götur einingav.'!$A$5:$E$75,4))</f>
        <v>12000</v>
      </c>
      <c r="G19" s="55">
        <f t="shared" si="0"/>
        <v>120000</v>
      </c>
      <c r="H19" s="58">
        <f>IF(F19=0,"",IF(A19="","",VLOOKUP(A19,'Götur einingav.'!$A$5:$E$75,5)))</f>
        <v>42491</v>
      </c>
    </row>
    <row r="20" spans="1:8" x14ac:dyDescent="0.25">
      <c r="B20" s="68"/>
      <c r="C20" s="126" t="s">
        <v>89</v>
      </c>
      <c r="D20" s="55"/>
      <c r="E20" s="56"/>
      <c r="F20" s="57"/>
      <c r="G20" s="55"/>
      <c r="H20" s="58"/>
    </row>
    <row r="21" spans="1:8" x14ac:dyDescent="0.25">
      <c r="A21" s="38">
        <v>11</v>
      </c>
      <c r="B21" s="68"/>
      <c r="C21" s="54" t="str">
        <f>IF(A21="","",VLOOKUP(A21,'Götur einingav.'!$A$5:$E$75,2))</f>
        <v>Bakkóvél</v>
      </c>
      <c r="D21" s="55">
        <v>10</v>
      </c>
      <c r="E21" s="56" t="str">
        <f>IF(A21="","",VLOOKUP(A21,'Götur einingav.'!$A$5:$E$75,3))</f>
        <v>klst.</v>
      </c>
      <c r="F21" s="57">
        <f>IF(A21="","",VLOOKUP(A21,'Götur einingav.'!$A$5:$E$75,4))</f>
        <v>10700</v>
      </c>
      <c r="G21" s="55">
        <f t="shared" si="0"/>
        <v>107000</v>
      </c>
      <c r="H21" s="58">
        <f>IF(F21=0,"",IF(A21="","",VLOOKUP(A21,'Götur einingav.'!$A$5:$E$75,5)))</f>
        <v>42491</v>
      </c>
    </row>
    <row r="22" spans="1:8" x14ac:dyDescent="0.25">
      <c r="A22" s="38">
        <v>15</v>
      </c>
      <c r="B22" s="68"/>
      <c r="C22" s="54" t="str">
        <f>IF(A22="","",VLOOKUP(A22,'Götur einingav.'!$A$5:$E$75,2))</f>
        <v>Traktorsgrafa</v>
      </c>
      <c r="D22" s="55">
        <v>10</v>
      </c>
      <c r="E22" s="56" t="str">
        <f>IF(A22="","",VLOOKUP(A22,'Götur einingav.'!$A$5:$E$75,3))</f>
        <v>klst.</v>
      </c>
      <c r="F22" s="57">
        <f>IF(A22="","",VLOOKUP(A22,'Götur einingav.'!$A$5:$E$75,4))</f>
        <v>8700</v>
      </c>
      <c r="G22" s="55">
        <f t="shared" si="0"/>
        <v>87000</v>
      </c>
      <c r="H22" s="58">
        <f>IF(F22=0,"",IF(A22="","",VLOOKUP(A22,'Götur einingav.'!$A$5:$E$75,5)))</f>
        <v>42491</v>
      </c>
    </row>
    <row r="23" spans="1:8" x14ac:dyDescent="0.25">
      <c r="A23" s="38">
        <v>16</v>
      </c>
      <c r="B23" s="68"/>
      <c r="C23" s="54" t="str">
        <f>IF(A23="","",VLOOKUP(A23,'Götur einingav.'!$A$5:$E$75,2))</f>
        <v>Smágrafa</v>
      </c>
      <c r="D23" s="55">
        <v>10</v>
      </c>
      <c r="E23" s="56" t="str">
        <f>IF(A23="","",VLOOKUP(A23,'Götur einingav.'!$A$5:$E$75,3))</f>
        <v>klst.</v>
      </c>
      <c r="F23" s="57">
        <f>IF(A23="","",VLOOKUP(A23,'Götur einingav.'!$A$5:$E$75,4))</f>
        <v>7500</v>
      </c>
      <c r="G23" s="55">
        <f t="shared" si="0"/>
        <v>75000</v>
      </c>
      <c r="H23" s="58">
        <f>IF(F23=0,"",IF(A23="","",VLOOKUP(A23,'Götur einingav.'!$A$5:$E$75,5)))</f>
        <v>42491</v>
      </c>
    </row>
    <row r="24" spans="1:8" x14ac:dyDescent="0.25">
      <c r="A24" s="38">
        <v>18</v>
      </c>
      <c r="B24" s="68"/>
      <c r="C24" s="54" t="str">
        <f>IF(A24="","",VLOOKUP(A24,'Götur einingav.'!$A$5:$E$75,2))</f>
        <v xml:space="preserve">Vörubíll  </v>
      </c>
      <c r="D24" s="55">
        <v>10</v>
      </c>
      <c r="E24" s="56" t="str">
        <f>IF(A24="","",VLOOKUP(A24,'Götur einingav.'!$A$5:$E$75,3))</f>
        <v>klst.</v>
      </c>
      <c r="F24" s="57">
        <f>IF(A24="","",VLOOKUP(A24,'Götur einingav.'!$A$5:$E$75,4))</f>
        <v>11500</v>
      </c>
      <c r="G24" s="55">
        <f t="shared" si="0"/>
        <v>115000</v>
      </c>
      <c r="H24" s="58">
        <f>IF(F24=0,"",IF(A24="","",VLOOKUP(A24,'Götur einingav.'!$A$5:$E$75,5)))</f>
        <v>42491</v>
      </c>
    </row>
    <row r="25" spans="1:8" x14ac:dyDescent="0.25">
      <c r="A25" s="38">
        <v>19</v>
      </c>
      <c r="B25" s="68"/>
      <c r="C25" s="54" t="str">
        <f>IF(A25="","",VLOOKUP(A25,'Götur einingav.'!$A$5:$E$75,2))</f>
        <v>Vörubíll með krana</v>
      </c>
      <c r="D25" s="55">
        <v>10</v>
      </c>
      <c r="E25" s="56" t="str">
        <f>IF(A25="","",VLOOKUP(A25,'Götur einingav.'!$A$5:$E$75,3))</f>
        <v>klst.</v>
      </c>
      <c r="F25" s="57">
        <f>IF(A25="","",VLOOKUP(A25,'Götur einingav.'!$A$5:$E$75,4))</f>
        <v>12600</v>
      </c>
      <c r="G25" s="55">
        <f t="shared" si="0"/>
        <v>126000</v>
      </c>
      <c r="H25" s="58">
        <f>IF(F25=0,"",IF(A25="","",VLOOKUP(A25,'Götur einingav.'!$A$5:$E$75,5)))</f>
        <v>42491</v>
      </c>
    </row>
    <row r="26" spans="1:8" x14ac:dyDescent="0.25">
      <c r="A26" s="38">
        <v>20</v>
      </c>
      <c r="B26" s="68"/>
      <c r="C26" s="54" t="str">
        <f>IF(A26="","",VLOOKUP(A26,'Götur einingav.'!$A$5:$E$75,2))</f>
        <v>Dráttarbíll</v>
      </c>
      <c r="D26" s="55">
        <v>10</v>
      </c>
      <c r="E26" s="56" t="str">
        <f>IF(A26="","",VLOOKUP(A26,'Götur einingav.'!$A$5:$E$75,3))</f>
        <v>klst.</v>
      </c>
      <c r="F26" s="57">
        <f>IF(A26="","",VLOOKUP(A26,'Götur einingav.'!$A$5:$E$75,4))</f>
        <v>12000</v>
      </c>
      <c r="G26" s="55">
        <f t="shared" si="0"/>
        <v>120000</v>
      </c>
      <c r="H26" s="58">
        <f>IF(F26=0,"",IF(A26="","",VLOOKUP(A26,'Götur einingav.'!$A$5:$E$75,5)))</f>
        <v>42491</v>
      </c>
    </row>
    <row r="27" spans="1:8" x14ac:dyDescent="0.25">
      <c r="D27" s="60"/>
      <c r="E27" s="38"/>
      <c r="F27" s="60"/>
      <c r="G27" s="60"/>
    </row>
    <row r="28" spans="1:8" x14ac:dyDescent="0.25">
      <c r="B28" s="71"/>
      <c r="C28" s="248" t="s">
        <v>90</v>
      </c>
      <c r="D28" s="249"/>
      <c r="E28" s="249"/>
      <c r="F28" s="249"/>
      <c r="G28" s="61">
        <f>SUM(G16:G27)</f>
        <v>946000</v>
      </c>
    </row>
    <row r="29" spans="1:8" x14ac:dyDescent="0.25">
      <c r="G29" s="64"/>
    </row>
    <row r="30" spans="1:8" x14ac:dyDescent="0.25">
      <c r="B30" s="65" t="s">
        <v>91</v>
      </c>
      <c r="C30" s="66" t="s">
        <v>175</v>
      </c>
      <c r="D30" s="67"/>
      <c r="F30" s="67"/>
      <c r="G30" s="64"/>
    </row>
    <row r="31" spans="1:8" x14ac:dyDescent="0.25">
      <c r="A31" s="38">
        <v>59</v>
      </c>
      <c r="B31" s="68"/>
      <c r="C31" s="54" t="str">
        <f>IF(A31="","",VLOOKUP(A31,'Götur einingav.'!$A$5:$E$75,2))</f>
        <v>Brjóta og fjarlægja kantstein</v>
      </c>
      <c r="D31" s="55">
        <v>2200</v>
      </c>
      <c r="E31" s="56" t="str">
        <f>IF(A31="","",VLOOKUP(A31,'Götur einingav.'!$A$5:$E$75,3))</f>
        <v>m</v>
      </c>
      <c r="F31" s="57">
        <f>IF(A31="","",VLOOKUP(A31,'Götur einingav.'!$A$5:$E$75,4))</f>
        <v>1300</v>
      </c>
      <c r="G31" s="55">
        <f t="shared" ref="G31:G38" si="1">IF(D31="","",D31*F31)</f>
        <v>2860000</v>
      </c>
      <c r="H31" s="58">
        <f>IF(F31=0,"",IF(A31="","",VLOOKUP(A31,'Götur einingav.'!$A$5:$E$75,5)))</f>
        <v>42583</v>
      </c>
    </row>
    <row r="32" spans="1:8" x14ac:dyDescent="0.25">
      <c r="A32" s="38">
        <v>60</v>
      </c>
      <c r="B32" s="68"/>
      <c r="C32" s="54" t="str">
        <f>IF(A32="","",VLOOKUP(A32,'Götur einingav.'!$A$5:$E$75,2))</f>
        <v>Brjóta upp steypta gangst.</v>
      </c>
      <c r="D32" s="55">
        <v>400</v>
      </c>
      <c r="E32" s="56" t="str">
        <f>IF(A32="","",VLOOKUP(A32,'Götur einingav.'!$A$5:$E$75,3))</f>
        <v>m2</v>
      </c>
      <c r="F32" s="57">
        <f>IF(A32="","",VLOOKUP(A32,'Götur einingav.'!$A$5:$E$75,4))</f>
        <v>3500</v>
      </c>
      <c r="G32" s="55">
        <f t="shared" si="1"/>
        <v>1400000</v>
      </c>
      <c r="H32" s="58">
        <f>IF(F32=0,"",IF(A32="","",VLOOKUP(A32,'Götur einingav.'!$A$5:$E$75,5)))</f>
        <v>42522</v>
      </c>
    </row>
    <row r="33" spans="1:8" x14ac:dyDescent="0.25">
      <c r="A33" s="38">
        <v>29</v>
      </c>
      <c r="B33" s="68"/>
      <c r="C33" s="54" t="str">
        <f>IF(A33="","",VLOOKUP(A33,'Götur einingav.'!$A$5:$E$75,2))</f>
        <v>Fræsing yfirborðs</v>
      </c>
      <c r="D33" s="55">
        <v>500</v>
      </c>
      <c r="E33" s="56" t="str">
        <f>IF(A33="","",VLOOKUP(A33,'Götur einingav.'!$A$5:$E$75,3))</f>
        <v>m2</v>
      </c>
      <c r="F33" s="57">
        <f>IF(A33="","",VLOOKUP(A33,'Götur einingav.'!$A$5:$E$75,4))</f>
        <v>1500</v>
      </c>
      <c r="G33" s="55">
        <f t="shared" si="1"/>
        <v>750000</v>
      </c>
      <c r="H33" s="58">
        <f>IF(F33=0,"",IF(A33="","",VLOOKUP(A33,'Götur einingav.'!$A$5:$E$75,5)))</f>
        <v>42491</v>
      </c>
    </row>
    <row r="34" spans="1:8" x14ac:dyDescent="0.25">
      <c r="A34" s="38">
        <v>65</v>
      </c>
      <c r="B34" s="68"/>
      <c r="C34" s="54" t="str">
        <f>IF(A34="","",VLOOKUP(A34,'Götur einingav.'!$A$5:$E$75,2))</f>
        <v>Steypa C 35</v>
      </c>
      <c r="D34" s="55">
        <v>60</v>
      </c>
      <c r="E34" s="56" t="str">
        <f>IF(A34="","",VLOOKUP(A34,'Götur einingav.'!$A$5:$E$75,3))</f>
        <v>m3</v>
      </c>
      <c r="F34" s="57">
        <f>IF(A34="","",VLOOKUP(A34,'Götur einingav.'!$A$5:$E$75,4))</f>
        <v>32000</v>
      </c>
      <c r="G34" s="55">
        <f t="shared" si="1"/>
        <v>1920000</v>
      </c>
      <c r="H34" s="58">
        <f>IF(F34=0,"",IF(A34="","",VLOOKUP(A34,'Götur einingav.'!$A$5:$E$75,5)))</f>
        <v>42491</v>
      </c>
    </row>
    <row r="35" spans="1:8" x14ac:dyDescent="0.25">
      <c r="A35" s="38">
        <v>33</v>
      </c>
      <c r="B35" s="68"/>
      <c r="C35" s="54" t="str">
        <f>IF(A35="","",VLOOKUP(A35,'Götur einingav.'!$A$5:$E$75,2))</f>
        <v>Taka upp götujárn - brunnur</v>
      </c>
      <c r="D35" s="55">
        <v>10</v>
      </c>
      <c r="E35" s="56" t="str">
        <f>IF(A35="","",VLOOKUP(A35,'Götur einingav.'!$A$5:$E$75,3))</f>
        <v>stk.</v>
      </c>
      <c r="F35" s="57">
        <f>IF(A35="","",VLOOKUP(A35,'Götur einingav.'!$A$5:$E$75,4))</f>
        <v>8500</v>
      </c>
      <c r="G35" s="55">
        <f t="shared" si="1"/>
        <v>85000</v>
      </c>
      <c r="H35" s="58">
        <f>IF(F35=0,"",IF(A35="","",VLOOKUP(A35,'Götur einingav.'!$A$5:$E$75,5)))</f>
        <v>42461</v>
      </c>
    </row>
    <row r="36" spans="1:8" x14ac:dyDescent="0.25">
      <c r="A36" s="38">
        <v>34</v>
      </c>
      <c r="B36" s="68"/>
      <c r="C36" s="54" t="str">
        <f>IF(A36="","",VLOOKUP(A36,'Götur einingav.'!$A$5:$E$75,2))</f>
        <v>Taka upp götujárn - vatnssp.</v>
      </c>
      <c r="D36" s="55">
        <v>0</v>
      </c>
      <c r="E36" s="56" t="str">
        <f>IF(A36="","",VLOOKUP(A36,'Götur einingav.'!$A$5:$E$75,3))</f>
        <v>stk.</v>
      </c>
      <c r="F36" s="57">
        <f>IF(A36="","",VLOOKUP(A36,'Götur einingav.'!$A$5:$E$75,4))</f>
        <v>5700</v>
      </c>
      <c r="G36" s="55">
        <f t="shared" si="1"/>
        <v>0</v>
      </c>
      <c r="H36" s="58">
        <f>IF(F36=0,"",IF(A36="","",VLOOKUP(A36,'Götur einingav.'!$A$5:$E$75,5)))</f>
        <v>42461</v>
      </c>
    </row>
    <row r="37" spans="1:8" x14ac:dyDescent="0.25">
      <c r="A37" s="38">
        <v>35</v>
      </c>
      <c r="B37" s="68"/>
      <c r="C37" s="54" t="str">
        <f>IF(A37="","",VLOOKUP(A37,'Götur einingav.'!$A$5:$E$75,2))</f>
        <v>Taka upp götujárn - niðurfall</v>
      </c>
      <c r="D37" s="55">
        <v>38</v>
      </c>
      <c r="E37" s="56" t="str">
        <f>IF(A37="","",VLOOKUP(A37,'Götur einingav.'!$A$5:$E$75,3))</f>
        <v>stk.</v>
      </c>
      <c r="F37" s="57">
        <f>IF(A37="","",VLOOKUP(A37,'Götur einingav.'!$A$5:$E$75,4))</f>
        <v>5700</v>
      </c>
      <c r="G37" s="55">
        <f t="shared" si="1"/>
        <v>216600</v>
      </c>
      <c r="H37" s="58">
        <f>IF(F37=0,"",IF(A37="","",VLOOKUP(A37,'Götur einingav.'!$A$5:$E$75,5)))</f>
        <v>42461</v>
      </c>
    </row>
    <row r="38" spans="1:8" x14ac:dyDescent="0.25">
      <c r="A38" s="38">
        <v>28</v>
      </c>
      <c r="B38" s="68"/>
      <c r="C38" s="54" t="str">
        <f>IF(A38="","",VLOOKUP(A38,'Götur einingav.'!$A$5:$E$75,2))</f>
        <v>Sögun á steypu / malbiki</v>
      </c>
      <c r="D38" s="55">
        <v>150</v>
      </c>
      <c r="E38" s="56" t="str">
        <f>IF(A38="","",VLOOKUP(A38,'Götur einingav.'!$A$5:$E$75,3))</f>
        <v>m</v>
      </c>
      <c r="F38" s="57">
        <f>IF(A38="","",VLOOKUP(A38,'Götur einingav.'!$A$5:$E$75,4))</f>
        <v>2500</v>
      </c>
      <c r="G38" s="55">
        <f t="shared" si="1"/>
        <v>375000</v>
      </c>
      <c r="H38" s="58">
        <f>IF(F38=0,"",IF(A38="","",VLOOKUP(A38,'Götur einingav.'!$A$5:$E$75,5)))</f>
        <v>42491</v>
      </c>
    </row>
    <row r="39" spans="1:8" x14ac:dyDescent="0.25">
      <c r="B39" s="38"/>
      <c r="D39" s="62"/>
      <c r="E39" s="63"/>
      <c r="F39" s="62"/>
      <c r="G39" s="62"/>
    </row>
    <row r="40" spans="1:8" x14ac:dyDescent="0.25">
      <c r="C40" s="248" t="s">
        <v>92</v>
      </c>
      <c r="D40" s="249"/>
      <c r="E40" s="249"/>
      <c r="F40" s="249"/>
      <c r="G40" s="61">
        <f>SUM(G31:G39)</f>
        <v>7606600</v>
      </c>
    </row>
    <row r="41" spans="1:8" x14ac:dyDescent="0.25">
      <c r="G41" s="64"/>
    </row>
    <row r="42" spans="1:8" x14ac:dyDescent="0.25">
      <c r="D42" t="s">
        <v>186</v>
      </c>
      <c r="G42" s="64"/>
    </row>
    <row r="43" spans="1:8" ht="15.75" x14ac:dyDescent="0.25">
      <c r="B43" s="72" t="s">
        <v>93</v>
      </c>
      <c r="C43" s="73" t="s">
        <v>94</v>
      </c>
      <c r="D43" s="45" t="s">
        <v>79</v>
      </c>
      <c r="E43" s="47" t="s">
        <v>80</v>
      </c>
      <c r="F43" s="45" t="s">
        <v>76</v>
      </c>
      <c r="G43" s="45" t="s">
        <v>95</v>
      </c>
    </row>
    <row r="44" spans="1:8" x14ac:dyDescent="0.25">
      <c r="A44" s="38">
        <v>37</v>
      </c>
      <c r="B44" s="68"/>
      <c r="C44" s="54" t="str">
        <f>IF(A44="","",VLOOKUP(A44,'Götur einingav.'!$A$5:$E$75,2))</f>
        <v>Malbikun SL 8 - 20 mm</v>
      </c>
      <c r="D44" s="55">
        <v>7000</v>
      </c>
      <c r="E44" s="56" t="str">
        <f>IF(A44="","",VLOOKUP(A44,'Götur einingav.'!$A$5:$E$75,3))</f>
        <v>m2</v>
      </c>
      <c r="F44" s="57">
        <f>IF(A44="","",VLOOKUP(A44,'Götur einingav.'!$A$5:$E$75,4))</f>
        <v>2300</v>
      </c>
      <c r="G44" s="55">
        <f>IF(D44="","",D44*F44)</f>
        <v>16100000</v>
      </c>
      <c r="H44" s="58">
        <f>IF(F44=0,"",IF(A44="","",VLOOKUP(A44,'Götur einingav.'!$A$5:$E$75,5)))</f>
        <v>42491</v>
      </c>
    </row>
    <row r="45" spans="1:8" x14ac:dyDescent="0.25">
      <c r="A45" s="38">
        <v>66</v>
      </c>
      <c r="B45" s="68"/>
      <c r="C45" s="54" t="str">
        <f>IF(A45="","",VLOOKUP(A45,'Götur einingav.'!$A$5:$E$75,2))</f>
        <v>Bendid. HaTelit C 40/17</v>
      </c>
      <c r="D45" s="55">
        <v>6000</v>
      </c>
      <c r="E45" s="56" t="str">
        <f>IF(A45="","",VLOOKUP(A45,'Götur einingav.'!$A$5:$E$75,3))</f>
        <v>m2</v>
      </c>
      <c r="F45" s="57">
        <f>IF(A45="","",VLOOKUP(A45,'Götur einingav.'!$A$5:$E$75,4))</f>
        <v>422</v>
      </c>
      <c r="G45" s="55">
        <f>IF(D45="","",D45*F45)</f>
        <v>2532000</v>
      </c>
      <c r="H45" s="58">
        <f>IF(F45=0,"",IF(A45="","",VLOOKUP(A45,'Götur einingav.'!$A$5:$E$75,5)))</f>
        <v>42522</v>
      </c>
    </row>
    <row r="46" spans="1:8" x14ac:dyDescent="0.25">
      <c r="A46" s="38">
        <v>68</v>
      </c>
      <c r="B46" s="68"/>
      <c r="C46" s="54" t="str">
        <f>IF(A46="","",VLOOKUP(A46,'Götur einingav.'!$A$5:$E$75,2))</f>
        <v>Vinna / efni við dúka</v>
      </c>
      <c r="D46" s="55">
        <v>6000</v>
      </c>
      <c r="E46" s="56" t="str">
        <f>IF(A46="","",VLOOKUP(A46,'Götur einingav.'!$A$5:$E$75,3))</f>
        <v>m2</v>
      </c>
      <c r="F46" s="57">
        <f>IF(A46="","",VLOOKUP(A46,'Götur einingav.'!$A$5:$E$75,4))</f>
        <v>350</v>
      </c>
      <c r="G46" s="55">
        <f>IF(D46="","",D46*F46)</f>
        <v>2100000</v>
      </c>
      <c r="H46" s="58">
        <f>IF(F46=0,"",IF(A46="","",VLOOKUP(A46,'Götur einingav.'!$A$5:$E$75,5)))</f>
        <v>42614</v>
      </c>
    </row>
    <row r="47" spans="1:8" x14ac:dyDescent="0.25">
      <c r="A47" s="38">
        <v>38</v>
      </c>
      <c r="B47" s="68"/>
      <c r="C47" s="54" t="str">
        <f>IF(A47="","",VLOOKUP(A47,'Götur einingav.'!$A$5:$E$75,2))</f>
        <v>Malbikun SL 11 - 50 mm</v>
      </c>
      <c r="D47" s="55">
        <v>9830</v>
      </c>
      <c r="E47" s="56" t="str">
        <f>IF(A47="","",VLOOKUP(A47,'Götur einingav.'!$A$5:$E$75,3))</f>
        <v>m2</v>
      </c>
      <c r="F47" s="57">
        <f>IF(A47="","",VLOOKUP(A47,'Götur einingav.'!$A$5:$E$75,4))</f>
        <v>4700</v>
      </c>
      <c r="G47" s="55">
        <f>IF(D47="","",D47*F47)</f>
        <v>46201000</v>
      </c>
      <c r="H47" s="58">
        <f>IF(F47=0,"",IF(A47="","",VLOOKUP(A47,'Götur einingav.'!$A$5:$E$75,5)))</f>
        <v>42491</v>
      </c>
    </row>
    <row r="48" spans="1:8" x14ac:dyDescent="0.25">
      <c r="A48" s="38">
        <v>41</v>
      </c>
      <c r="B48" s="68"/>
      <c r="C48" s="54" t="str">
        <f>IF(A48="","",VLOOKUP(A48,'Götur einingav.'!$A$5:$E$75,2))</f>
        <v>Steyptur kantsteinn 100 mm</v>
      </c>
      <c r="D48" s="55">
        <v>2200</v>
      </c>
      <c r="E48" s="56" t="str">
        <f>IF(A48="","",VLOOKUP(A48,'Götur einingav.'!$A$5:$E$75,3))</f>
        <v>m</v>
      </c>
      <c r="F48" s="57">
        <f>IF(A48="","",VLOOKUP(A48,'Götur einingav.'!$A$5:$E$75,4))</f>
        <v>3800</v>
      </c>
      <c r="G48" s="55">
        <f>IF(D48="","",D48*F48)</f>
        <v>8360000</v>
      </c>
      <c r="H48" s="58">
        <f>IF(F48=0,"",IF(A48="","",VLOOKUP(A48,'Götur einingav.'!$A$5:$E$75,5)))</f>
        <v>42491</v>
      </c>
    </row>
    <row r="49" spans="2:9" x14ac:dyDescent="0.25">
      <c r="B49" s="68"/>
      <c r="C49" s="54"/>
      <c r="D49" s="55"/>
      <c r="E49" s="56"/>
      <c r="F49" s="57"/>
      <c r="G49" s="55"/>
      <c r="H49" s="58"/>
    </row>
    <row r="50" spans="2:9" x14ac:dyDescent="0.25">
      <c r="B50" s="68"/>
      <c r="C50" s="54"/>
      <c r="D50" s="55"/>
      <c r="E50" s="56"/>
      <c r="F50" s="57"/>
      <c r="G50" s="55"/>
      <c r="H50" s="58"/>
    </row>
    <row r="51" spans="2:9" x14ac:dyDescent="0.25">
      <c r="B51" s="68"/>
      <c r="C51" s="54" t="s">
        <v>187</v>
      </c>
      <c r="D51" s="55"/>
      <c r="E51" s="56"/>
      <c r="F51" s="57"/>
      <c r="G51" s="55">
        <v>3000000</v>
      </c>
      <c r="H51" s="58"/>
      <c r="I51" t="s">
        <v>185</v>
      </c>
    </row>
    <row r="52" spans="2:9" x14ac:dyDescent="0.25">
      <c r="B52" s="68"/>
      <c r="C52" s="54"/>
      <c r="D52" s="55"/>
      <c r="E52" s="56"/>
      <c r="F52" s="57"/>
      <c r="G52" s="55"/>
      <c r="H52" s="58"/>
    </row>
    <row r="53" spans="2:9" x14ac:dyDescent="0.25">
      <c r="B53" s="128"/>
      <c r="C53" s="129"/>
      <c r="D53" s="130"/>
      <c r="E53" s="131"/>
      <c r="F53" s="132"/>
      <c r="G53" s="130"/>
      <c r="H53" s="133"/>
    </row>
    <row r="54" spans="2:9" x14ac:dyDescent="0.25">
      <c r="C54" s="248" t="s">
        <v>96</v>
      </c>
      <c r="D54" s="249"/>
      <c r="E54" s="249"/>
      <c r="F54" s="250"/>
      <c r="G54" s="75">
        <f>SUM(G44:G52)</f>
        <v>78293000</v>
      </c>
    </row>
    <row r="55" spans="2:9" x14ac:dyDescent="0.25">
      <c r="G55" s="64"/>
    </row>
    <row r="56" spans="2:9" ht="15.75" x14ac:dyDescent="0.25">
      <c r="F56" s="76" t="s">
        <v>97</v>
      </c>
      <c r="G56" s="77">
        <f>G12+G28+G40+G54</f>
        <v>87540600</v>
      </c>
    </row>
    <row r="57" spans="2:9" ht="15.75" x14ac:dyDescent="0.25">
      <c r="F57" s="76"/>
      <c r="G57" s="77"/>
    </row>
    <row r="58" spans="2:9" x14ac:dyDescent="0.25">
      <c r="E58" s="43" t="s">
        <v>98</v>
      </c>
      <c r="F58" s="78">
        <v>0.2</v>
      </c>
      <c r="G58" s="79">
        <f>G56*F58</f>
        <v>17508120</v>
      </c>
    </row>
    <row r="59" spans="2:9" x14ac:dyDescent="0.25">
      <c r="G59" s="134">
        <f>G56+G58</f>
        <v>105048720</v>
      </c>
    </row>
    <row r="60" spans="2:9" ht="15.75" x14ac:dyDescent="0.25">
      <c r="F60" s="76"/>
      <c r="G60" s="77"/>
    </row>
    <row r="61" spans="2:9" ht="15.75" x14ac:dyDescent="0.25">
      <c r="F61" s="76"/>
      <c r="G61" s="77"/>
    </row>
    <row r="62" spans="2:9" x14ac:dyDescent="0.25">
      <c r="G62" s="64"/>
    </row>
    <row r="63" spans="2:9" ht="15.75" x14ac:dyDescent="0.25">
      <c r="B63" s="44" t="s">
        <v>99</v>
      </c>
      <c r="G63" s="64"/>
    </row>
    <row r="65" spans="2:8" x14ac:dyDescent="0.25">
      <c r="B65" t="str">
        <f>B5</f>
        <v>1.2</v>
      </c>
      <c r="C65" t="str">
        <f>C5</f>
        <v>AÐSTAÐA, FRÁGANGUR O.FL.</v>
      </c>
      <c r="F65" s="43" t="s">
        <v>100</v>
      </c>
      <c r="G65" s="64">
        <f>G12</f>
        <v>695000</v>
      </c>
      <c r="H65" s="80">
        <f>G65/$G$73</f>
        <v>7.9391733664151264E-3</v>
      </c>
    </row>
    <row r="67" spans="2:8" x14ac:dyDescent="0.25">
      <c r="B67" s="81" t="str">
        <f>B14</f>
        <v>1.3</v>
      </c>
      <c r="C67" t="str">
        <f>C14</f>
        <v>REIKNINGSVINNA</v>
      </c>
      <c r="F67" s="43" t="s">
        <v>100</v>
      </c>
      <c r="G67" s="64">
        <f>G28</f>
        <v>946000</v>
      </c>
      <c r="H67" s="80">
        <f>G67/$G$73</f>
        <v>1.0806414395149223E-2</v>
      </c>
    </row>
    <row r="69" spans="2:8" x14ac:dyDescent="0.25">
      <c r="B69" s="81" t="str">
        <f>B30</f>
        <v>1.4</v>
      </c>
      <c r="C69" t="str">
        <f>C30</f>
        <v>FORVINNA / JARÐVINNA</v>
      </c>
      <c r="F69" s="43" t="s">
        <v>100</v>
      </c>
      <c r="G69" s="64">
        <f>G40</f>
        <v>7606600</v>
      </c>
      <c r="H69" s="80">
        <f>G69/$G$73</f>
        <v>8.6892253422983165E-2</v>
      </c>
    </row>
    <row r="70" spans="2:8" x14ac:dyDescent="0.25">
      <c r="B70" s="81"/>
    </row>
    <row r="71" spans="2:8" x14ac:dyDescent="0.25">
      <c r="B71" s="81" t="str">
        <f>B43</f>
        <v>1.5</v>
      </c>
      <c r="C71" t="str">
        <f>C43</f>
        <v>YFIRBORÐSFRÁGANGUR</v>
      </c>
      <c r="F71" s="43" t="s">
        <v>100</v>
      </c>
      <c r="G71" s="64">
        <f>G54</f>
        <v>78293000</v>
      </c>
      <c r="H71" s="80">
        <f>G71/$G$73</f>
        <v>0.89436215881545245</v>
      </c>
    </row>
    <row r="73" spans="2:8" x14ac:dyDescent="0.25">
      <c r="F73" t="s">
        <v>101</v>
      </c>
      <c r="G73" s="64">
        <f>SUM(G65:G71)</f>
        <v>87540600</v>
      </c>
    </row>
  </sheetData>
  <mergeCells count="5">
    <mergeCell ref="C1:C2"/>
    <mergeCell ref="C12:F12"/>
    <mergeCell ref="C28:F28"/>
    <mergeCell ref="C40:F40"/>
    <mergeCell ref="C54:F54"/>
  </mergeCells>
  <printOptions horizontalCentered="1" verticalCentered="1"/>
  <pageMargins left="0.51181102362204722" right="0.51181102362204722" top="0.74803149606299213" bottom="0.74803149606299213" header="0.31496062992125984" footer="0.31496062992125984"/>
  <pageSetup paperSize="9" orientation="portrait" r:id="rId1"/>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opLeftCell="A37" zoomScaleNormal="100" workbookViewId="0">
      <selection activeCell="G53" sqref="G53"/>
    </sheetView>
  </sheetViews>
  <sheetFormatPr defaultRowHeight="15" x14ac:dyDescent="0.25"/>
  <cols>
    <col min="1" max="1" width="5.5703125" style="38" customWidth="1"/>
    <col min="2" max="2" width="7.5703125" customWidth="1"/>
    <col min="3" max="3" width="28.5703125" customWidth="1"/>
    <col min="4" max="4" width="9.140625" customWidth="1"/>
    <col min="5" max="5" width="7.5703125" customWidth="1"/>
    <col min="6" max="6" width="10.5703125" customWidth="1"/>
    <col min="7" max="7" width="12.5703125" customWidth="1"/>
    <col min="8" max="8" width="8.5703125" style="42" customWidth="1"/>
  </cols>
  <sheetData>
    <row r="1" spans="1:8" ht="19.5" customHeight="1" x14ac:dyDescent="0.25">
      <c r="C1" s="251" t="s">
        <v>173</v>
      </c>
    </row>
    <row r="2" spans="1:8" ht="19.5" customHeight="1" x14ac:dyDescent="0.25">
      <c r="C2" s="251"/>
      <c r="E2" s="43" t="s">
        <v>75</v>
      </c>
      <c r="F2" s="124">
        <v>42621</v>
      </c>
    </row>
    <row r="3" spans="1:8" ht="15.75" x14ac:dyDescent="0.25">
      <c r="B3" s="44"/>
      <c r="C3" s="38" t="s">
        <v>174</v>
      </c>
      <c r="H3" s="45" t="s">
        <v>76</v>
      </c>
    </row>
    <row r="4" spans="1:8" x14ac:dyDescent="0.25">
      <c r="A4" s="46" t="s">
        <v>77</v>
      </c>
      <c r="B4" s="46" t="s">
        <v>78</v>
      </c>
      <c r="D4" s="45" t="s">
        <v>79</v>
      </c>
      <c r="E4" s="47" t="s">
        <v>80</v>
      </c>
      <c r="F4" s="45" t="s">
        <v>76</v>
      </c>
      <c r="G4" s="45" t="s">
        <v>65</v>
      </c>
      <c r="H4" s="48" t="s">
        <v>81</v>
      </c>
    </row>
    <row r="5" spans="1:8" x14ac:dyDescent="0.25">
      <c r="A5" s="46" t="s">
        <v>82</v>
      </c>
      <c r="B5" s="49" t="s">
        <v>83</v>
      </c>
      <c r="C5" s="50" t="s">
        <v>84</v>
      </c>
      <c r="D5" s="51"/>
      <c r="E5" s="52"/>
      <c r="F5" s="51"/>
      <c r="G5" s="52"/>
    </row>
    <row r="6" spans="1:8" x14ac:dyDescent="0.25">
      <c r="A6" s="46">
        <v>1</v>
      </c>
      <c r="B6" s="53"/>
      <c r="C6" s="54" t="str">
        <f>IF(A6="","",VLOOKUP(A6,'Götur einingav.'!$A$5:$E$75,2))</f>
        <v>Aðstaða</v>
      </c>
      <c r="D6" s="125">
        <v>1</v>
      </c>
      <c r="E6" s="56" t="str">
        <f>IF(A6="","",VLOOKUP(A6,'Götur einingav.'!$A$5:$E$75,3))</f>
        <v>heild</v>
      </c>
      <c r="F6" s="57">
        <f>IF(A6="","",VLOOKUP(A6,'Götur einingav.'!$A$5:$E$75,4))</f>
        <v>175000</v>
      </c>
      <c r="G6" s="55">
        <f>IF(D6="","",D6*F6)</f>
        <v>175000</v>
      </c>
      <c r="H6" s="58">
        <f>IF(F6=0,"",IF(A6="","",VLOOKUP(A6,'Götur einingav.'!$A$5:$E$75,5)))</f>
        <v>42491</v>
      </c>
    </row>
    <row r="7" spans="1:8" x14ac:dyDescent="0.25">
      <c r="A7" s="38">
        <v>2</v>
      </c>
      <c r="B7" s="53"/>
      <c r="C7" s="54" t="str">
        <f>IF(A7="","",VLOOKUP(A7,'Götur einingav.'!$A$5:$E$75,2))</f>
        <v>Öryggisráðstafanir</v>
      </c>
      <c r="D7" s="125">
        <v>1</v>
      </c>
      <c r="E7" s="56" t="str">
        <f>IF(A7="","",VLOOKUP(A7,'Götur einingav.'!$A$5:$E$75,3))</f>
        <v>heild</v>
      </c>
      <c r="F7" s="57">
        <f>IF(A7="","",VLOOKUP(A7,'Götur einingav.'!$A$5:$E$75,4))</f>
        <v>110000</v>
      </c>
      <c r="G7" s="55">
        <f>IF(D7="","",D7*F7)</f>
        <v>110000</v>
      </c>
      <c r="H7" s="58">
        <f>IF(F7=0,"",IF(A7="","",VLOOKUP(A7,'Götur einingav.'!$A$5:$E$75,5)))</f>
        <v>42491</v>
      </c>
    </row>
    <row r="8" spans="1:8" x14ac:dyDescent="0.25">
      <c r="A8" s="38">
        <v>3</v>
      </c>
      <c r="B8" s="59"/>
      <c r="C8" s="54" t="str">
        <f>IF(A8="","",VLOOKUP(A8,'Götur einingav.'!$A$5:$E$75,2))</f>
        <v>Merkingar</v>
      </c>
      <c r="D8" s="125">
        <v>2</v>
      </c>
      <c r="E8" s="56" t="str">
        <f>IF(A8="","",VLOOKUP(A8,'Götur einingav.'!$A$5:$E$75,3))</f>
        <v>heild</v>
      </c>
      <c r="F8" s="57">
        <f>IF(A8="","",VLOOKUP(A8,'Götur einingav.'!$A$5:$E$75,4))</f>
        <v>110000</v>
      </c>
      <c r="G8" s="55">
        <f>IF(D8="","",D8*F8)</f>
        <v>220000</v>
      </c>
      <c r="H8" s="58">
        <f>IF(F8=0,"",IF(A8="","",VLOOKUP(A8,'Götur einingav.'!$A$5:$E$75,5)))</f>
        <v>42491</v>
      </c>
    </row>
    <row r="9" spans="1:8" x14ac:dyDescent="0.25">
      <c r="A9" s="46">
        <v>4</v>
      </c>
      <c r="B9" s="53"/>
      <c r="C9" s="54" t="str">
        <f>IF(A9="","",VLOOKUP(A9,'Götur einingav.'!$A$5:$E$75,2))</f>
        <v>Frágangur í verklok</v>
      </c>
      <c r="D9" s="125">
        <v>1</v>
      </c>
      <c r="E9" s="56" t="str">
        <f>IF(A9="","",VLOOKUP(A9,'Götur einingav.'!$A$5:$E$75,3))</f>
        <v>heild</v>
      </c>
      <c r="F9" s="57">
        <f>IF(A9="","",VLOOKUP(A9,'Götur einingav.'!$A$5:$E$75,4))</f>
        <v>200000</v>
      </c>
      <c r="G9" s="55">
        <f>IF(D9="","",D9*F9)</f>
        <v>200000</v>
      </c>
      <c r="H9" s="58">
        <f>IF(F9=0,"",IF(A9="","",VLOOKUP(A9,'Götur einingav.'!$A$5:$E$75,5)))</f>
        <v>42491</v>
      </c>
    </row>
    <row r="10" spans="1:8" x14ac:dyDescent="0.25">
      <c r="A10" s="46">
        <v>5</v>
      </c>
      <c r="B10" s="59"/>
      <c r="C10" s="54" t="str">
        <f>IF(A10="","",VLOOKUP(A10,'Götur einingav.'!$A$5:$E$75,2))</f>
        <v>Annað</v>
      </c>
      <c r="D10" s="125">
        <v>1</v>
      </c>
      <c r="E10" s="56" t="str">
        <f>IF(A10="","",VLOOKUP(A10,'Götur einingav.'!$A$5:$E$75,3))</f>
        <v>heild</v>
      </c>
      <c r="F10" s="57">
        <f>IF(A10="","",VLOOKUP(A10,'Götur einingav.'!$A$5:$E$75,4))</f>
        <v>100000</v>
      </c>
      <c r="G10" s="55">
        <f>IF(D10="","",D10*F10)</f>
        <v>100000</v>
      </c>
      <c r="H10" s="58">
        <f>IF(F10=0,"",IF(A10="","",VLOOKUP(A10,'Götur einingav.'!$A$5:$E$75,5)))</f>
        <v>42491</v>
      </c>
    </row>
    <row r="11" spans="1:8" x14ac:dyDescent="0.25">
      <c r="B11" s="38"/>
      <c r="D11" s="60"/>
      <c r="E11" s="38"/>
      <c r="F11" s="60"/>
      <c r="G11" s="60"/>
    </row>
    <row r="12" spans="1:8" x14ac:dyDescent="0.25">
      <c r="B12" s="38"/>
      <c r="C12" s="248" t="s">
        <v>85</v>
      </c>
      <c r="D12" s="249"/>
      <c r="E12" s="249"/>
      <c r="F12" s="249"/>
      <c r="G12" s="61">
        <f>SUM(G6:G11)</f>
        <v>805000</v>
      </c>
    </row>
    <row r="13" spans="1:8" x14ac:dyDescent="0.25">
      <c r="D13" s="62"/>
      <c r="E13" s="63"/>
      <c r="G13" s="64"/>
    </row>
    <row r="14" spans="1:8" x14ac:dyDescent="0.25">
      <c r="B14" s="65" t="s">
        <v>86</v>
      </c>
      <c r="C14" s="66" t="s">
        <v>87</v>
      </c>
      <c r="D14" s="67"/>
      <c r="G14" s="64"/>
    </row>
    <row r="15" spans="1:8" x14ac:dyDescent="0.25">
      <c r="B15" s="68"/>
      <c r="C15" s="126" t="s">
        <v>88</v>
      </c>
      <c r="D15" s="69"/>
      <c r="E15" s="70"/>
      <c r="F15" s="69"/>
      <c r="G15" s="69"/>
    </row>
    <row r="16" spans="1:8" x14ac:dyDescent="0.25">
      <c r="A16" s="38">
        <v>6</v>
      </c>
      <c r="B16" s="68"/>
      <c r="C16" s="54" t="str">
        <f>IF(A16="","",VLOOKUP(A16,'Götur einingav.'!$A$5:$E$75,2))</f>
        <v>Verkamaður</v>
      </c>
      <c r="D16" s="55">
        <v>10</v>
      </c>
      <c r="E16" s="56" t="str">
        <f>IF(A16="","",VLOOKUP(A16,'Götur einingav.'!$A$5:$E$75,3))</f>
        <v>klst.</v>
      </c>
      <c r="F16" s="57">
        <f>IF(A16="","",VLOOKUP(A16,'Götur einingav.'!$A$5:$E$75,4))</f>
        <v>5500</v>
      </c>
      <c r="G16" s="55">
        <f t="shared" ref="G16:G26" si="0">IF(D16="","",D16*F16)</f>
        <v>55000</v>
      </c>
      <c r="H16" s="58">
        <f>IF(F16=0,"",IF(A16="","",VLOOKUP(A16,'Götur einingav.'!$A$5:$E$75,5)))</f>
        <v>42491</v>
      </c>
    </row>
    <row r="17" spans="1:8" x14ac:dyDescent="0.25">
      <c r="A17" s="38">
        <v>7</v>
      </c>
      <c r="B17" s="68"/>
      <c r="C17" s="54" t="str">
        <f>IF(A17="","",VLOOKUP(A17,'Götur einingav.'!$A$5:$E$75,2))</f>
        <v>Vélamenn/bílstjórar</v>
      </c>
      <c r="D17" s="55">
        <v>10</v>
      </c>
      <c r="E17" s="56" t="str">
        <f>IF(A17="","",VLOOKUP(A17,'Götur einingav.'!$A$5:$E$75,3))</f>
        <v>klst.</v>
      </c>
      <c r="F17" s="57">
        <f>IF(A17="","",VLOOKUP(A17,'Götur einingav.'!$A$5:$E$75,4))</f>
        <v>5800</v>
      </c>
      <c r="G17" s="55">
        <f t="shared" si="0"/>
        <v>58000</v>
      </c>
      <c r="H17" s="58">
        <f>IF(F17=0,"",IF(A17="","",VLOOKUP(A17,'Götur einingav.'!$A$5:$E$75,5)))</f>
        <v>42491</v>
      </c>
    </row>
    <row r="18" spans="1:8" x14ac:dyDescent="0.25">
      <c r="A18" s="38">
        <v>8</v>
      </c>
      <c r="B18" s="68"/>
      <c r="C18" s="54" t="str">
        <f>IF(A18="","",VLOOKUP(A18,'Götur einingav.'!$A$5:$E$75,2))</f>
        <v>Iðnaðarmaður</v>
      </c>
      <c r="D18" s="55">
        <v>10</v>
      </c>
      <c r="E18" s="56" t="str">
        <f>IF(A18="","",VLOOKUP(A18,'Götur einingav.'!$A$5:$E$75,3))</f>
        <v>klst.</v>
      </c>
      <c r="F18" s="57">
        <f>IF(A18="","",VLOOKUP(A18,'Götur einingav.'!$A$5:$E$75,4))</f>
        <v>8300</v>
      </c>
      <c r="G18" s="55">
        <f t="shared" si="0"/>
        <v>83000</v>
      </c>
      <c r="H18" s="58">
        <f>IF(F18=0,"",IF(A18="","",VLOOKUP(A18,'Götur einingav.'!$A$5:$E$75,5)))</f>
        <v>42491</v>
      </c>
    </row>
    <row r="19" spans="1:8" x14ac:dyDescent="0.25">
      <c r="A19" s="38">
        <v>9</v>
      </c>
      <c r="B19" s="68"/>
      <c r="C19" s="54" t="str">
        <f>IF(A19="","",VLOOKUP(A19,'Götur einingav.'!$A$5:$E$75,2))</f>
        <v>Mælingamaður</v>
      </c>
      <c r="D19" s="55">
        <v>10</v>
      </c>
      <c r="E19" s="56" t="str">
        <f>IF(A19="","",VLOOKUP(A19,'Götur einingav.'!$A$5:$E$75,3))</f>
        <v>klst.</v>
      </c>
      <c r="F19" s="57">
        <f>IF(A19="","",VLOOKUP(A19,'Götur einingav.'!$A$5:$E$75,4))</f>
        <v>12000</v>
      </c>
      <c r="G19" s="55">
        <f t="shared" si="0"/>
        <v>120000</v>
      </c>
      <c r="H19" s="58">
        <f>IF(F19=0,"",IF(A19="","",VLOOKUP(A19,'Götur einingav.'!$A$5:$E$75,5)))</f>
        <v>42491</v>
      </c>
    </row>
    <row r="20" spans="1:8" x14ac:dyDescent="0.25">
      <c r="B20" s="68"/>
      <c r="C20" s="126" t="s">
        <v>89</v>
      </c>
      <c r="D20" s="55"/>
      <c r="E20" s="56"/>
      <c r="F20" s="57"/>
      <c r="G20" s="55"/>
      <c r="H20" s="58"/>
    </row>
    <row r="21" spans="1:8" x14ac:dyDescent="0.25">
      <c r="A21" s="38">
        <v>11</v>
      </c>
      <c r="B21" s="68"/>
      <c r="C21" s="54" t="str">
        <f>IF(A21="","",VLOOKUP(A21,'Götur einingav.'!$A$5:$E$75,2))</f>
        <v>Bakkóvél</v>
      </c>
      <c r="D21" s="55">
        <v>10</v>
      </c>
      <c r="E21" s="56" t="str">
        <f>IF(A21="","",VLOOKUP(A21,'Götur einingav.'!$A$5:$E$75,3))</f>
        <v>klst.</v>
      </c>
      <c r="F21" s="57">
        <f>IF(A21="","",VLOOKUP(A21,'Götur einingav.'!$A$5:$E$75,4))</f>
        <v>10700</v>
      </c>
      <c r="G21" s="55">
        <f t="shared" si="0"/>
        <v>107000</v>
      </c>
      <c r="H21" s="58">
        <f>IF(F21=0,"",IF(A21="","",VLOOKUP(A21,'Götur einingav.'!$A$5:$E$75,5)))</f>
        <v>42491</v>
      </c>
    </row>
    <row r="22" spans="1:8" x14ac:dyDescent="0.25">
      <c r="A22" s="38">
        <v>15</v>
      </c>
      <c r="B22" s="68"/>
      <c r="C22" s="54" t="str">
        <f>IF(A22="","",VLOOKUP(A22,'Götur einingav.'!$A$5:$E$75,2))</f>
        <v>Traktorsgrafa</v>
      </c>
      <c r="D22" s="55">
        <v>10</v>
      </c>
      <c r="E22" s="56" t="str">
        <f>IF(A22="","",VLOOKUP(A22,'Götur einingav.'!$A$5:$E$75,3))</f>
        <v>klst.</v>
      </c>
      <c r="F22" s="57">
        <f>IF(A22="","",VLOOKUP(A22,'Götur einingav.'!$A$5:$E$75,4))</f>
        <v>8700</v>
      </c>
      <c r="G22" s="55">
        <f t="shared" si="0"/>
        <v>87000</v>
      </c>
      <c r="H22" s="58">
        <f>IF(F22=0,"",IF(A22="","",VLOOKUP(A22,'Götur einingav.'!$A$5:$E$75,5)))</f>
        <v>42491</v>
      </c>
    </row>
    <row r="23" spans="1:8" x14ac:dyDescent="0.25">
      <c r="A23" s="38">
        <v>16</v>
      </c>
      <c r="B23" s="68"/>
      <c r="C23" s="54" t="str">
        <f>IF(A23="","",VLOOKUP(A23,'Götur einingav.'!$A$5:$E$75,2))</f>
        <v>Smágrafa</v>
      </c>
      <c r="D23" s="55">
        <v>10</v>
      </c>
      <c r="E23" s="56" t="str">
        <f>IF(A23="","",VLOOKUP(A23,'Götur einingav.'!$A$5:$E$75,3))</f>
        <v>klst.</v>
      </c>
      <c r="F23" s="57">
        <f>IF(A23="","",VLOOKUP(A23,'Götur einingav.'!$A$5:$E$75,4))</f>
        <v>7500</v>
      </c>
      <c r="G23" s="55">
        <f t="shared" si="0"/>
        <v>75000</v>
      </c>
      <c r="H23" s="58">
        <f>IF(F23=0,"",IF(A23="","",VLOOKUP(A23,'Götur einingav.'!$A$5:$E$75,5)))</f>
        <v>42491</v>
      </c>
    </row>
    <row r="24" spans="1:8" x14ac:dyDescent="0.25">
      <c r="A24" s="38">
        <v>18</v>
      </c>
      <c r="B24" s="68"/>
      <c r="C24" s="54" t="str">
        <f>IF(A24="","",VLOOKUP(A24,'Götur einingav.'!$A$5:$E$75,2))</f>
        <v xml:space="preserve">Vörubíll  </v>
      </c>
      <c r="D24" s="55">
        <v>10</v>
      </c>
      <c r="E24" s="56" t="str">
        <f>IF(A24="","",VLOOKUP(A24,'Götur einingav.'!$A$5:$E$75,3))</f>
        <v>klst.</v>
      </c>
      <c r="F24" s="57">
        <f>IF(A24="","",VLOOKUP(A24,'Götur einingav.'!$A$5:$E$75,4))</f>
        <v>11500</v>
      </c>
      <c r="G24" s="55">
        <f t="shared" si="0"/>
        <v>115000</v>
      </c>
      <c r="H24" s="58">
        <f>IF(F24=0,"",IF(A24="","",VLOOKUP(A24,'Götur einingav.'!$A$5:$E$75,5)))</f>
        <v>42491</v>
      </c>
    </row>
    <row r="25" spans="1:8" x14ac:dyDescent="0.25">
      <c r="A25" s="38">
        <v>19</v>
      </c>
      <c r="B25" s="68"/>
      <c r="C25" s="54" t="str">
        <f>IF(A25="","",VLOOKUP(A25,'Götur einingav.'!$A$5:$E$75,2))</f>
        <v>Vörubíll með krana</v>
      </c>
      <c r="D25" s="55">
        <v>10</v>
      </c>
      <c r="E25" s="56" t="str">
        <f>IF(A25="","",VLOOKUP(A25,'Götur einingav.'!$A$5:$E$75,3))</f>
        <v>klst.</v>
      </c>
      <c r="F25" s="57">
        <f>IF(A25="","",VLOOKUP(A25,'Götur einingav.'!$A$5:$E$75,4))</f>
        <v>12600</v>
      </c>
      <c r="G25" s="55">
        <f t="shared" si="0"/>
        <v>126000</v>
      </c>
      <c r="H25" s="58">
        <f>IF(F25=0,"",IF(A25="","",VLOOKUP(A25,'Götur einingav.'!$A$5:$E$75,5)))</f>
        <v>42491</v>
      </c>
    </row>
    <row r="26" spans="1:8" x14ac:dyDescent="0.25">
      <c r="A26" s="38">
        <v>20</v>
      </c>
      <c r="B26" s="68"/>
      <c r="C26" s="54" t="str">
        <f>IF(A26="","",VLOOKUP(A26,'Götur einingav.'!$A$5:$E$75,2))</f>
        <v>Dráttarbíll</v>
      </c>
      <c r="D26" s="55">
        <v>10</v>
      </c>
      <c r="E26" s="56" t="str">
        <f>IF(A26="","",VLOOKUP(A26,'Götur einingav.'!$A$5:$E$75,3))</f>
        <v>klst.</v>
      </c>
      <c r="F26" s="57">
        <f>IF(A26="","",VLOOKUP(A26,'Götur einingav.'!$A$5:$E$75,4))</f>
        <v>12000</v>
      </c>
      <c r="G26" s="55">
        <f t="shared" si="0"/>
        <v>120000</v>
      </c>
      <c r="H26" s="58">
        <f>IF(F26=0,"",IF(A26="","",VLOOKUP(A26,'Götur einingav.'!$A$5:$E$75,5)))</f>
        <v>42491</v>
      </c>
    </row>
    <row r="27" spans="1:8" x14ac:dyDescent="0.25">
      <c r="D27" s="60"/>
      <c r="E27" s="38"/>
      <c r="F27" s="60"/>
      <c r="G27" s="60"/>
    </row>
    <row r="28" spans="1:8" x14ac:dyDescent="0.25">
      <c r="B28" s="71"/>
      <c r="C28" s="248" t="s">
        <v>90</v>
      </c>
      <c r="D28" s="249"/>
      <c r="E28" s="249"/>
      <c r="F28" s="249"/>
      <c r="G28" s="61">
        <f>SUM(G16:G27)</f>
        <v>946000</v>
      </c>
    </row>
    <row r="29" spans="1:8" x14ac:dyDescent="0.25">
      <c r="G29" s="64"/>
    </row>
    <row r="30" spans="1:8" x14ac:dyDescent="0.25">
      <c r="B30" s="65" t="s">
        <v>91</v>
      </c>
      <c r="C30" s="66" t="s">
        <v>175</v>
      </c>
      <c r="D30" s="67"/>
      <c r="F30" s="67"/>
      <c r="G30" s="64"/>
    </row>
    <row r="31" spans="1:8" x14ac:dyDescent="0.25">
      <c r="A31" s="38">
        <v>59</v>
      </c>
      <c r="B31" s="68"/>
      <c r="C31" s="54" t="str">
        <f>IF(A31="","",VLOOKUP(A31,'Götur einingav.'!$A$5:$E$75,2))</f>
        <v>Brjóta og fjarlægja kantstein</v>
      </c>
      <c r="D31" s="55">
        <v>350</v>
      </c>
      <c r="E31" s="56" t="str">
        <f>IF(A31="","",VLOOKUP(A31,'Götur einingav.'!$A$5:$E$75,3))</f>
        <v>m</v>
      </c>
      <c r="F31" s="57">
        <f>IF(A31="","",VLOOKUP(A31,'Götur einingav.'!$A$5:$E$75,4))</f>
        <v>1300</v>
      </c>
      <c r="G31" s="55">
        <f t="shared" ref="G31:G38" si="1">IF(D31="","",D31*F31)</f>
        <v>455000</v>
      </c>
      <c r="H31" s="58">
        <f>IF(F31=0,"",IF(A31="","",VLOOKUP(A31,'Götur einingav.'!$A$5:$E$75,5)))</f>
        <v>42583</v>
      </c>
    </row>
    <row r="32" spans="1:8" x14ac:dyDescent="0.25">
      <c r="A32" s="38">
        <v>60</v>
      </c>
      <c r="B32" s="68"/>
      <c r="C32" s="54" t="str">
        <f>IF(A32="","",VLOOKUP(A32,'Götur einingav.'!$A$5:$E$75,2))</f>
        <v>Brjóta upp steypta gangst.</v>
      </c>
      <c r="D32" s="55">
        <v>150</v>
      </c>
      <c r="E32" s="56" t="str">
        <f>IF(A32="","",VLOOKUP(A32,'Götur einingav.'!$A$5:$E$75,3))</f>
        <v>m2</v>
      </c>
      <c r="F32" s="57">
        <f>IF(A32="","",VLOOKUP(A32,'Götur einingav.'!$A$5:$E$75,4))</f>
        <v>3500</v>
      </c>
      <c r="G32" s="55">
        <f t="shared" si="1"/>
        <v>525000</v>
      </c>
      <c r="H32" s="58">
        <f>IF(F32=0,"",IF(A32="","",VLOOKUP(A32,'Götur einingav.'!$A$5:$E$75,5)))</f>
        <v>42522</v>
      </c>
    </row>
    <row r="33" spans="1:9" x14ac:dyDescent="0.25">
      <c r="A33" s="38">
        <v>29</v>
      </c>
      <c r="B33" s="68"/>
      <c r="C33" s="54" t="str">
        <f>IF(A33="","",VLOOKUP(A33,'Götur einingav.'!$A$5:$E$75,2))</f>
        <v>Fræsing yfirborðs</v>
      </c>
      <c r="D33" s="55">
        <v>1500</v>
      </c>
      <c r="E33" s="56" t="str">
        <f>IF(A33="","",VLOOKUP(A33,'Götur einingav.'!$A$5:$E$75,3))</f>
        <v>m2</v>
      </c>
      <c r="F33" s="57">
        <f>IF(A33="","",VLOOKUP(A33,'Götur einingav.'!$A$5:$E$75,4))</f>
        <v>1500</v>
      </c>
      <c r="G33" s="55">
        <f t="shared" si="1"/>
        <v>2250000</v>
      </c>
      <c r="H33" s="58">
        <f>IF(F33=0,"",IF(A33="","",VLOOKUP(A33,'Götur einingav.'!$A$5:$E$75,5)))</f>
        <v>42491</v>
      </c>
    </row>
    <row r="34" spans="1:9" x14ac:dyDescent="0.25">
      <c r="A34" s="38">
        <v>33</v>
      </c>
      <c r="B34" s="68"/>
      <c r="C34" s="54" t="str">
        <f>IF(A34="","",VLOOKUP(A34,'Götur einingav.'!$A$5:$E$75,2))</f>
        <v>Taka upp götujárn - brunnur</v>
      </c>
      <c r="D34" s="55">
        <v>10</v>
      </c>
      <c r="E34" s="56" t="str">
        <f>IF(A34="","",VLOOKUP(A34,'Götur einingav.'!$A$5:$E$75,3))</f>
        <v>stk.</v>
      </c>
      <c r="F34" s="57">
        <f>IF(A34="","",VLOOKUP(A34,'Götur einingav.'!$A$5:$E$75,4))</f>
        <v>8500</v>
      </c>
      <c r="G34" s="55">
        <f t="shared" si="1"/>
        <v>85000</v>
      </c>
      <c r="H34" s="58">
        <f>IF(F34=0,"",IF(A34="","",VLOOKUP(A34,'Götur einingav.'!$A$5:$E$75,5)))</f>
        <v>42461</v>
      </c>
    </row>
    <row r="35" spans="1:9" x14ac:dyDescent="0.25">
      <c r="A35" s="38">
        <v>34</v>
      </c>
      <c r="B35" s="68"/>
      <c r="C35" s="54" t="str">
        <f>IF(A35="","",VLOOKUP(A35,'Götur einingav.'!$A$5:$E$75,2))</f>
        <v>Taka upp götujárn - vatnssp.</v>
      </c>
      <c r="D35" s="55">
        <v>4</v>
      </c>
      <c r="E35" s="56" t="str">
        <f>IF(A35="","",VLOOKUP(A35,'Götur einingav.'!$A$5:$E$75,3))</f>
        <v>stk.</v>
      </c>
      <c r="F35" s="57">
        <f>IF(A35="","",VLOOKUP(A35,'Götur einingav.'!$A$5:$E$75,4))</f>
        <v>5700</v>
      </c>
      <c r="G35" s="55">
        <f t="shared" si="1"/>
        <v>22800</v>
      </c>
      <c r="H35" s="58">
        <f>IF(F35=0,"",IF(A35="","",VLOOKUP(A35,'Götur einingav.'!$A$5:$E$75,5)))</f>
        <v>42461</v>
      </c>
    </row>
    <row r="36" spans="1:9" x14ac:dyDescent="0.25">
      <c r="A36" s="38">
        <v>35</v>
      </c>
      <c r="B36" s="68"/>
      <c r="C36" s="54" t="str">
        <f>IF(A36="","",VLOOKUP(A36,'Götur einingav.'!$A$5:$E$75,2))</f>
        <v>Taka upp götujárn - niðurfall</v>
      </c>
      <c r="D36" s="55">
        <v>35</v>
      </c>
      <c r="E36" s="56" t="str">
        <f>IF(A36="","",VLOOKUP(A36,'Götur einingav.'!$A$5:$E$75,3))</f>
        <v>stk.</v>
      </c>
      <c r="F36" s="57">
        <f>IF(A36="","",VLOOKUP(A36,'Götur einingav.'!$A$5:$E$75,4))</f>
        <v>5700</v>
      </c>
      <c r="G36" s="55">
        <f t="shared" si="1"/>
        <v>199500</v>
      </c>
      <c r="H36" s="58">
        <f>IF(F36=0,"",IF(A36="","",VLOOKUP(A36,'Götur einingav.'!$A$5:$E$75,5)))</f>
        <v>42461</v>
      </c>
    </row>
    <row r="37" spans="1:9" x14ac:dyDescent="0.25">
      <c r="A37" s="38">
        <v>28</v>
      </c>
      <c r="B37" s="68"/>
      <c r="C37" s="54" t="str">
        <f>IF(A37="","",VLOOKUP(A37,'Götur einingav.'!$A$5:$E$75,2))</f>
        <v>Sögun á steypu / malbiki</v>
      </c>
      <c r="D37" s="55">
        <v>100</v>
      </c>
      <c r="E37" s="56" t="str">
        <f>IF(A37="","",VLOOKUP(A37,'Götur einingav.'!$A$5:$E$75,3))</f>
        <v>m</v>
      </c>
      <c r="F37" s="57">
        <f>IF(A37="","",VLOOKUP(A37,'Götur einingav.'!$A$5:$E$75,4))</f>
        <v>2500</v>
      </c>
      <c r="G37" s="55">
        <f t="shared" si="1"/>
        <v>250000</v>
      </c>
      <c r="H37" s="58">
        <f>IF(F37=0,"",IF(A37="","",VLOOKUP(A37,'Götur einingav.'!$A$5:$E$75,5)))</f>
        <v>42491</v>
      </c>
    </row>
    <row r="38" spans="1:9" x14ac:dyDescent="0.25">
      <c r="A38" s="38">
        <v>43</v>
      </c>
      <c r="B38" s="68"/>
      <c r="C38" s="54" t="str">
        <f>IF(A38="","",VLOOKUP(A38,'Götur einingav.'!$A$5:$E$75,2))</f>
        <v>Götuniðurf. með sandf. og v.lás</v>
      </c>
      <c r="D38" s="55">
        <v>5</v>
      </c>
      <c r="E38" s="56" t="str">
        <f>IF(A38="","",VLOOKUP(A38,'Götur einingav.'!$A$5:$E$75,3))</f>
        <v>stk.</v>
      </c>
      <c r="F38" s="57">
        <f>IF(A38="","",VLOOKUP(A38,'Götur einingav.'!$A$5:$E$75,4))</f>
        <v>65000</v>
      </c>
      <c r="G38" s="55">
        <f t="shared" si="1"/>
        <v>325000</v>
      </c>
      <c r="H38" s="58">
        <f>IF(F38=0,"",IF(A38="","",VLOOKUP(A38,'Götur einingav.'!$A$5:$E$75,5)))</f>
        <v>42491</v>
      </c>
    </row>
    <row r="39" spans="1:9" x14ac:dyDescent="0.25">
      <c r="B39" s="38"/>
      <c r="D39" s="62"/>
      <c r="E39" s="63"/>
      <c r="F39" s="62"/>
      <c r="G39" s="62"/>
    </row>
    <row r="40" spans="1:9" x14ac:dyDescent="0.25">
      <c r="C40" s="248" t="s">
        <v>92</v>
      </c>
      <c r="D40" s="249"/>
      <c r="E40" s="249"/>
      <c r="F40" s="249"/>
      <c r="G40" s="61">
        <f>SUM(G31:G39)</f>
        <v>4112300</v>
      </c>
    </row>
    <row r="41" spans="1:9" x14ac:dyDescent="0.25">
      <c r="G41" s="64"/>
    </row>
    <row r="42" spans="1:9" x14ac:dyDescent="0.25">
      <c r="G42" s="64"/>
    </row>
    <row r="43" spans="1:9" ht="15.75" x14ac:dyDescent="0.25">
      <c r="B43" s="72" t="s">
        <v>93</v>
      </c>
      <c r="C43" s="73" t="s">
        <v>94</v>
      </c>
      <c r="D43" s="45" t="s">
        <v>79</v>
      </c>
      <c r="E43" s="47" t="s">
        <v>80</v>
      </c>
      <c r="F43" s="45" t="s">
        <v>76</v>
      </c>
      <c r="G43" s="45" t="s">
        <v>95</v>
      </c>
    </row>
    <row r="44" spans="1:9" x14ac:dyDescent="0.25">
      <c r="A44" s="38">
        <v>38</v>
      </c>
      <c r="B44" s="68"/>
      <c r="C44" s="54" t="str">
        <f>IF(A44="","",VLOOKUP(A44,'Götur einingav.'!$A$5:$E$75,2))</f>
        <v>Malbikun SL 11 - 50 mm</v>
      </c>
      <c r="D44" s="55">
        <v>1500</v>
      </c>
      <c r="E44" s="56" t="str">
        <f>IF(A44="","",VLOOKUP(A44,'Götur einingav.'!$A$5:$E$75,3))</f>
        <v>m2</v>
      </c>
      <c r="F44" s="57">
        <f>IF(A44="","",VLOOKUP(A44,'Götur einingav.'!$A$5:$E$75,4))</f>
        <v>4700</v>
      </c>
      <c r="G44" s="55">
        <f>IF(D44="","",D44*F44)</f>
        <v>7050000</v>
      </c>
      <c r="H44" s="58">
        <f>IF(F44=0,"",IF(A44="","",VLOOKUP(A44,'Götur einingav.'!$A$5:$E$75,5)))</f>
        <v>42491</v>
      </c>
      <c r="I44" t="s">
        <v>176</v>
      </c>
    </row>
    <row r="45" spans="1:9" x14ac:dyDescent="0.25">
      <c r="A45" s="38">
        <v>66</v>
      </c>
      <c r="B45" s="68"/>
      <c r="C45" s="54" t="str">
        <f>IF(A45="","",VLOOKUP(A45,'Götur einingav.'!$A$5:$E$75,2))</f>
        <v>Bendid. HaTelit C 40/17</v>
      </c>
      <c r="D45" s="55">
        <v>1000</v>
      </c>
      <c r="E45" s="56" t="str">
        <f>IF(A45="","",VLOOKUP(A45,'Götur einingav.'!$A$5:$E$75,3))</f>
        <v>m2</v>
      </c>
      <c r="F45" s="57">
        <f>IF(A45="","",VLOOKUP(A45,'Götur einingav.'!$A$5:$E$75,4))</f>
        <v>422</v>
      </c>
      <c r="G45" s="55">
        <f>IF(D45="","",D45*F45)</f>
        <v>422000</v>
      </c>
      <c r="H45" s="58">
        <f>IF(F45=0,"",IF(A45="","",VLOOKUP(A45,'Götur einingav.'!$A$5:$E$75,5)))</f>
        <v>42522</v>
      </c>
      <c r="I45" t="s">
        <v>177</v>
      </c>
    </row>
    <row r="46" spans="1:9" x14ac:dyDescent="0.25">
      <c r="A46" s="38">
        <v>68</v>
      </c>
      <c r="B46" s="68"/>
      <c r="C46" s="54" t="str">
        <f>IF(A46="","",VLOOKUP(A46,'Götur einingav.'!$A$5:$E$75,2))</f>
        <v>Vinna / efni við dúka</v>
      </c>
      <c r="D46" s="55">
        <v>1000</v>
      </c>
      <c r="E46" s="56" t="str">
        <f>IF(A46="","",VLOOKUP(A46,'Götur einingav.'!$A$5:$E$75,3))</f>
        <v>m2</v>
      </c>
      <c r="F46" s="57">
        <f>IF(A46="","",VLOOKUP(A46,'Götur einingav.'!$A$5:$E$75,4))</f>
        <v>350</v>
      </c>
      <c r="G46" s="55">
        <f>IF(D46="","",D46*F46)</f>
        <v>350000</v>
      </c>
      <c r="H46" s="58">
        <f>IF(F46=0,"",IF(A46="","",VLOOKUP(A46,'Götur einingav.'!$A$5:$E$75,5)))</f>
        <v>42614</v>
      </c>
    </row>
    <row r="47" spans="1:9" x14ac:dyDescent="0.25">
      <c r="A47" s="38">
        <v>38</v>
      </c>
      <c r="B47" s="68"/>
      <c r="C47" s="54" t="str">
        <f>IF(A47="","",VLOOKUP(A47,'Götur einingav.'!$A$5:$E$75,2))</f>
        <v>Malbikun SL 11 - 50 mm</v>
      </c>
      <c r="D47" s="55">
        <v>3700</v>
      </c>
      <c r="E47" s="56" t="str">
        <f>IF(A47="","",VLOOKUP(A47,'Götur einingav.'!$A$5:$E$75,3))</f>
        <v>m2</v>
      </c>
      <c r="F47" s="57">
        <f>IF(A47="","",VLOOKUP(A47,'Götur einingav.'!$A$5:$E$75,4))</f>
        <v>4700</v>
      </c>
      <c r="G47" s="55">
        <f>IF(D47="","",D47*F47)</f>
        <v>17390000</v>
      </c>
      <c r="H47" s="58">
        <f>IF(F47=0,"",IF(A47="","",VLOOKUP(A47,'Götur einingav.'!$A$5:$E$75,5)))</f>
        <v>42491</v>
      </c>
    </row>
    <row r="48" spans="1:9" x14ac:dyDescent="0.25">
      <c r="A48" s="38">
        <v>41</v>
      </c>
      <c r="B48" s="68"/>
      <c r="C48" s="54" t="str">
        <f>IF(A48="","",VLOOKUP(A48,'Götur einingav.'!$A$5:$E$75,2))</f>
        <v>Steyptur kantsteinn 100 mm</v>
      </c>
      <c r="D48" s="55">
        <v>500</v>
      </c>
      <c r="E48" s="56" t="str">
        <f>IF(A48="","",VLOOKUP(A48,'Götur einingav.'!$A$5:$E$75,3))</f>
        <v>m</v>
      </c>
      <c r="F48" s="57">
        <f>IF(A48="","",VLOOKUP(A48,'Götur einingav.'!$A$5:$E$75,4))</f>
        <v>3800</v>
      </c>
      <c r="G48" s="55">
        <f>IF(D48="","",D48*F48)</f>
        <v>1900000</v>
      </c>
      <c r="H48" s="58">
        <f>IF(F48=0,"",IF(A48="","",VLOOKUP(A48,'Götur einingav.'!$A$5:$E$75,5)))</f>
        <v>42491</v>
      </c>
    </row>
    <row r="49" spans="2:9" x14ac:dyDescent="0.25">
      <c r="B49" s="68"/>
      <c r="C49" s="54"/>
      <c r="D49" s="55"/>
      <c r="E49" s="56"/>
      <c r="F49" s="57"/>
      <c r="G49" s="55"/>
      <c r="H49" s="58"/>
    </row>
    <row r="50" spans="2:9" x14ac:dyDescent="0.25">
      <c r="B50" s="68"/>
      <c r="C50" s="54" t="s">
        <v>178</v>
      </c>
      <c r="D50" s="55"/>
      <c r="E50" s="56"/>
      <c r="F50" s="57"/>
      <c r="G50" s="127">
        <v>15000000</v>
      </c>
      <c r="H50" s="58"/>
      <c r="I50" t="s">
        <v>179</v>
      </c>
    </row>
    <row r="51" spans="2:9" x14ac:dyDescent="0.25">
      <c r="B51" s="68"/>
      <c r="C51" s="54" t="s">
        <v>180</v>
      </c>
      <c r="D51" s="55"/>
      <c r="E51" s="56"/>
      <c r="F51" s="57"/>
      <c r="G51" s="127">
        <v>15000000</v>
      </c>
      <c r="H51" s="58"/>
      <c r="I51" t="s">
        <v>181</v>
      </c>
    </row>
    <row r="52" spans="2:9" x14ac:dyDescent="0.25">
      <c r="B52" s="68"/>
      <c r="C52" s="54" t="s">
        <v>182</v>
      </c>
      <c r="D52" s="55"/>
      <c r="E52" s="56"/>
      <c r="F52" s="57"/>
      <c r="G52" s="127"/>
      <c r="H52" s="58"/>
      <c r="I52" t="s">
        <v>183</v>
      </c>
    </row>
    <row r="53" spans="2:9" x14ac:dyDescent="0.25">
      <c r="B53" s="68"/>
      <c r="C53" s="54" t="s">
        <v>184</v>
      </c>
      <c r="D53" s="55"/>
      <c r="E53" s="56"/>
      <c r="F53" s="57"/>
      <c r="G53" s="127">
        <v>6000000</v>
      </c>
      <c r="H53" s="58"/>
      <c r="I53" t="s">
        <v>185</v>
      </c>
    </row>
    <row r="54" spans="2:9" x14ac:dyDescent="0.25">
      <c r="B54" s="128"/>
      <c r="C54" s="129"/>
      <c r="D54" s="130"/>
      <c r="E54" s="131"/>
      <c r="F54" s="132"/>
      <c r="G54" s="130"/>
      <c r="H54" s="133"/>
    </row>
    <row r="55" spans="2:9" x14ac:dyDescent="0.25">
      <c r="C55" s="248" t="s">
        <v>96</v>
      </c>
      <c r="D55" s="249"/>
      <c r="E55" s="249"/>
      <c r="F55" s="250"/>
      <c r="G55" s="75">
        <f>SUM(G44:G53)</f>
        <v>63112000</v>
      </c>
    </row>
    <row r="56" spans="2:9" x14ac:dyDescent="0.25">
      <c r="G56" s="64"/>
    </row>
    <row r="57" spans="2:9" ht="15.75" x14ac:dyDescent="0.25">
      <c r="F57" s="76" t="s">
        <v>97</v>
      </c>
      <c r="G57" s="77">
        <f>G12+G28+G40+G55</f>
        <v>68975300</v>
      </c>
    </row>
    <row r="58" spans="2:9" ht="15.75" x14ac:dyDescent="0.25">
      <c r="F58" s="76"/>
      <c r="G58" s="77"/>
    </row>
    <row r="59" spans="2:9" x14ac:dyDescent="0.25">
      <c r="E59" s="43" t="s">
        <v>98</v>
      </c>
      <c r="F59" s="78">
        <v>0.2</v>
      </c>
      <c r="G59" s="79">
        <f>G57*F59</f>
        <v>13795060</v>
      </c>
    </row>
    <row r="60" spans="2:9" x14ac:dyDescent="0.25">
      <c r="G60" s="134">
        <f>G57+G59</f>
        <v>82770360</v>
      </c>
    </row>
    <row r="61" spans="2:9" ht="15.75" x14ac:dyDescent="0.25">
      <c r="F61" s="76"/>
      <c r="G61" s="77"/>
    </row>
    <row r="62" spans="2:9" ht="15.75" x14ac:dyDescent="0.25">
      <c r="F62" s="76"/>
      <c r="G62" s="77"/>
    </row>
    <row r="63" spans="2:9" x14ac:dyDescent="0.25">
      <c r="G63" s="64"/>
    </row>
    <row r="64" spans="2:9" ht="15.75" x14ac:dyDescent="0.25">
      <c r="B64" s="44" t="s">
        <v>99</v>
      </c>
      <c r="G64" s="64"/>
    </row>
    <row r="66" spans="2:8" x14ac:dyDescent="0.25">
      <c r="B66" t="str">
        <f>B5</f>
        <v>1.2</v>
      </c>
      <c r="C66" t="str">
        <f>C5</f>
        <v>AÐSTAÐA, FRÁGANGUR O.FL.</v>
      </c>
      <c r="F66" s="43" t="s">
        <v>100</v>
      </c>
      <c r="G66" s="64">
        <f>G12</f>
        <v>805000</v>
      </c>
      <c r="H66" s="80">
        <f>G66/$G$74</f>
        <v>1.1670844490708992E-2</v>
      </c>
    </row>
    <row r="68" spans="2:8" x14ac:dyDescent="0.25">
      <c r="B68" s="81" t="str">
        <f>B14</f>
        <v>1.3</v>
      </c>
      <c r="C68" t="str">
        <f>C14</f>
        <v>REIKNINGSVINNA</v>
      </c>
      <c r="F68" s="43" t="s">
        <v>100</v>
      </c>
      <c r="G68" s="64">
        <f>G28</f>
        <v>946000</v>
      </c>
      <c r="H68" s="80">
        <f>G68/$G$74</f>
        <v>1.3715054519516406E-2</v>
      </c>
    </row>
    <row r="70" spans="2:8" x14ac:dyDescent="0.25">
      <c r="B70" s="81" t="str">
        <f>B30</f>
        <v>1.4</v>
      </c>
      <c r="C70" t="str">
        <f>C30</f>
        <v>FORVINNA / JARÐVINNA</v>
      </c>
      <c r="F70" s="43" t="s">
        <v>100</v>
      </c>
      <c r="G70" s="64">
        <f>G40</f>
        <v>4112300</v>
      </c>
      <c r="H70" s="80">
        <f>G70/$G$74</f>
        <v>5.9619892918189553E-2</v>
      </c>
    </row>
    <row r="71" spans="2:8" x14ac:dyDescent="0.25">
      <c r="B71" s="81"/>
    </row>
    <row r="72" spans="2:8" x14ac:dyDescent="0.25">
      <c r="B72" s="81" t="str">
        <f>B43</f>
        <v>1.5</v>
      </c>
      <c r="C72" t="str">
        <f>C43</f>
        <v>YFIRBORÐSFRÁGANGUR</v>
      </c>
      <c r="F72" s="43" t="s">
        <v>100</v>
      </c>
      <c r="G72" s="64">
        <f>G55</f>
        <v>63112000</v>
      </c>
      <c r="H72" s="80">
        <f>G72/$G$74</f>
        <v>0.91499420807158505</v>
      </c>
    </row>
    <row r="74" spans="2:8" x14ac:dyDescent="0.25">
      <c r="F74" t="s">
        <v>101</v>
      </c>
      <c r="G74" s="64">
        <f>SUM(G66:G72)</f>
        <v>68975300</v>
      </c>
    </row>
  </sheetData>
  <mergeCells count="5">
    <mergeCell ref="C1:C2"/>
    <mergeCell ref="C12:F12"/>
    <mergeCell ref="C28:F28"/>
    <mergeCell ref="C40:F40"/>
    <mergeCell ref="C55:F55"/>
  </mergeCells>
  <printOptions horizontalCentered="1" verticalCentered="1"/>
  <pageMargins left="0.51181102362204722" right="0.51181102362204722" top="0.74803149606299213" bottom="0.74803149606299213" header="0.31496062992125984" footer="0.31496062992125984"/>
  <pageSetup paperSize="9" orientation="portrait" r:id="rId1"/>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opLeftCell="A43" zoomScaleNormal="100" workbookViewId="0">
      <selection activeCell="G44" sqref="G44"/>
    </sheetView>
  </sheetViews>
  <sheetFormatPr defaultRowHeight="15" x14ac:dyDescent="0.25"/>
  <cols>
    <col min="1" max="1" width="5.5703125" style="38" customWidth="1"/>
    <col min="2" max="2" width="7.5703125" customWidth="1"/>
    <col min="3" max="3" width="28.5703125" customWidth="1"/>
    <col min="4" max="4" width="9.140625" customWidth="1"/>
    <col min="5" max="5" width="7.5703125" customWidth="1"/>
    <col min="6" max="6" width="10.5703125" customWidth="1"/>
    <col min="7" max="7" width="12.5703125" customWidth="1"/>
    <col min="8" max="8" width="8.5703125" style="42" customWidth="1"/>
  </cols>
  <sheetData>
    <row r="1" spans="1:8" ht="19.5" customHeight="1" x14ac:dyDescent="0.25">
      <c r="C1" s="251" t="s">
        <v>35</v>
      </c>
    </row>
    <row r="2" spans="1:8" ht="19.5" customHeight="1" x14ac:dyDescent="0.25">
      <c r="C2" s="251"/>
      <c r="E2" s="43" t="s">
        <v>75</v>
      </c>
      <c r="F2" s="124">
        <v>42622</v>
      </c>
    </row>
    <row r="3" spans="1:8" ht="15.75" x14ac:dyDescent="0.25">
      <c r="B3" s="44"/>
      <c r="C3" s="38" t="s">
        <v>174</v>
      </c>
      <c r="H3" s="45" t="s">
        <v>76</v>
      </c>
    </row>
    <row r="4" spans="1:8" x14ac:dyDescent="0.25">
      <c r="A4" s="46" t="s">
        <v>77</v>
      </c>
      <c r="B4" s="46" t="s">
        <v>78</v>
      </c>
      <c r="D4" s="45" t="s">
        <v>79</v>
      </c>
      <c r="E4" s="47" t="s">
        <v>80</v>
      </c>
      <c r="F4" s="45" t="s">
        <v>76</v>
      </c>
      <c r="G4" s="45" t="s">
        <v>65</v>
      </c>
      <c r="H4" s="48" t="s">
        <v>81</v>
      </c>
    </row>
    <row r="5" spans="1:8" x14ac:dyDescent="0.25">
      <c r="A5" s="46" t="s">
        <v>82</v>
      </c>
      <c r="B5" s="49" t="s">
        <v>83</v>
      </c>
      <c r="C5" s="50" t="s">
        <v>84</v>
      </c>
      <c r="D5" s="51"/>
      <c r="E5" s="52"/>
      <c r="F5" s="51"/>
      <c r="G5" s="52"/>
    </row>
    <row r="6" spans="1:8" x14ac:dyDescent="0.25">
      <c r="A6" s="46">
        <v>1</v>
      </c>
      <c r="B6" s="53"/>
      <c r="C6" s="54" t="str">
        <f>IF(A6="","",VLOOKUP(A6,'Götur einingav.'!$A$5:$E$75,2))</f>
        <v>Aðstaða</v>
      </c>
      <c r="D6" s="125">
        <v>0.5</v>
      </c>
      <c r="E6" s="56" t="str">
        <f>IF(A6="","",VLOOKUP(A6,'Götur einingav.'!$A$5:$E$75,3))</f>
        <v>heild</v>
      </c>
      <c r="F6" s="57">
        <f>IF(A6="","",VLOOKUP(A6,'Götur einingav.'!$A$5:$E$75,4))</f>
        <v>175000</v>
      </c>
      <c r="G6" s="55">
        <f>IF(D6="","",D6*F6)</f>
        <v>87500</v>
      </c>
      <c r="H6" s="58">
        <f>IF(F6=0,"",IF(A6="","",VLOOKUP(A6,'Götur einingav.'!$A$5:$E$75,5)))</f>
        <v>42491</v>
      </c>
    </row>
    <row r="7" spans="1:8" x14ac:dyDescent="0.25">
      <c r="A7" s="38">
        <v>2</v>
      </c>
      <c r="B7" s="53"/>
      <c r="C7" s="54" t="str">
        <f>IF(A7="","",VLOOKUP(A7,'Götur einingav.'!$A$5:$E$75,2))</f>
        <v>Öryggisráðstafanir</v>
      </c>
      <c r="D7" s="125">
        <v>1</v>
      </c>
      <c r="E7" s="56" t="str">
        <f>IF(A7="","",VLOOKUP(A7,'Götur einingav.'!$A$5:$E$75,3))</f>
        <v>heild</v>
      </c>
      <c r="F7" s="57">
        <f>IF(A7="","",VLOOKUP(A7,'Götur einingav.'!$A$5:$E$75,4))</f>
        <v>110000</v>
      </c>
      <c r="G7" s="55">
        <f>IF(D7="","",D7*F7)</f>
        <v>110000</v>
      </c>
      <c r="H7" s="58">
        <f>IF(F7=0,"",IF(A7="","",VLOOKUP(A7,'Götur einingav.'!$A$5:$E$75,5)))</f>
        <v>42491</v>
      </c>
    </row>
    <row r="8" spans="1:8" x14ac:dyDescent="0.25">
      <c r="A8" s="38">
        <v>3</v>
      </c>
      <c r="B8" s="59"/>
      <c r="C8" s="54" t="str">
        <f>IF(A8="","",VLOOKUP(A8,'Götur einingav.'!$A$5:$E$75,2))</f>
        <v>Merkingar</v>
      </c>
      <c r="D8" s="125">
        <v>1</v>
      </c>
      <c r="E8" s="56" t="str">
        <f>IF(A8="","",VLOOKUP(A8,'Götur einingav.'!$A$5:$E$75,3))</f>
        <v>heild</v>
      </c>
      <c r="F8" s="57">
        <f>IF(A8="","",VLOOKUP(A8,'Götur einingav.'!$A$5:$E$75,4))</f>
        <v>110000</v>
      </c>
      <c r="G8" s="55">
        <f>IF(D8="","",D8*F8)</f>
        <v>110000</v>
      </c>
      <c r="H8" s="58">
        <f>IF(F8=0,"",IF(A8="","",VLOOKUP(A8,'Götur einingav.'!$A$5:$E$75,5)))</f>
        <v>42491</v>
      </c>
    </row>
    <row r="9" spans="1:8" x14ac:dyDescent="0.25">
      <c r="A9" s="46">
        <v>4</v>
      </c>
      <c r="B9" s="53"/>
      <c r="C9" s="54" t="str">
        <f>IF(A9="","",VLOOKUP(A9,'Götur einingav.'!$A$5:$E$75,2))</f>
        <v>Frágangur í verklok</v>
      </c>
      <c r="D9" s="125">
        <v>0.25</v>
      </c>
      <c r="E9" s="56" t="str">
        <f>IF(A9="","",VLOOKUP(A9,'Götur einingav.'!$A$5:$E$75,3))</f>
        <v>heild</v>
      </c>
      <c r="F9" s="57">
        <f>IF(A9="","",VLOOKUP(A9,'Götur einingav.'!$A$5:$E$75,4))</f>
        <v>200000</v>
      </c>
      <c r="G9" s="55">
        <f>IF(D9="","",D9*F9)</f>
        <v>50000</v>
      </c>
      <c r="H9" s="58">
        <f>IF(F9=0,"",IF(A9="","",VLOOKUP(A9,'Götur einingav.'!$A$5:$E$75,5)))</f>
        <v>42491</v>
      </c>
    </row>
    <row r="10" spans="1:8" x14ac:dyDescent="0.25">
      <c r="A10" s="46">
        <v>5</v>
      </c>
      <c r="B10" s="59"/>
      <c r="C10" s="54" t="str">
        <f>IF(A10="","",VLOOKUP(A10,'Götur einingav.'!$A$5:$E$75,2))</f>
        <v>Annað</v>
      </c>
      <c r="D10" s="125">
        <v>0</v>
      </c>
      <c r="E10" s="56" t="str">
        <f>IF(A10="","",VLOOKUP(A10,'Götur einingav.'!$A$5:$E$75,3))</f>
        <v>heild</v>
      </c>
      <c r="F10" s="57">
        <f>IF(A10="","",VLOOKUP(A10,'Götur einingav.'!$A$5:$E$75,4))</f>
        <v>100000</v>
      </c>
      <c r="G10" s="55">
        <f>IF(D10="","",D10*F10)</f>
        <v>0</v>
      </c>
      <c r="H10" s="58">
        <f>IF(F10=0,"",IF(A10="","",VLOOKUP(A10,'Götur einingav.'!$A$5:$E$75,5)))</f>
        <v>42491</v>
      </c>
    </row>
    <row r="11" spans="1:8" x14ac:dyDescent="0.25">
      <c r="B11" s="38"/>
      <c r="D11" s="60"/>
      <c r="E11" s="38"/>
      <c r="F11" s="60"/>
      <c r="G11" s="60"/>
    </row>
    <row r="12" spans="1:8" x14ac:dyDescent="0.25">
      <c r="B12" s="38"/>
      <c r="C12" s="248" t="s">
        <v>85</v>
      </c>
      <c r="D12" s="249"/>
      <c r="E12" s="249"/>
      <c r="F12" s="249"/>
      <c r="G12" s="61">
        <f>SUM(G6:G11)</f>
        <v>357500</v>
      </c>
    </row>
    <row r="13" spans="1:8" x14ac:dyDescent="0.25">
      <c r="D13" s="62"/>
      <c r="E13" s="63"/>
      <c r="G13" s="64"/>
    </row>
    <row r="14" spans="1:8" x14ac:dyDescent="0.25">
      <c r="B14" s="65" t="s">
        <v>86</v>
      </c>
      <c r="C14" s="66" t="s">
        <v>87</v>
      </c>
      <c r="D14" s="67"/>
      <c r="G14" s="64"/>
    </row>
    <row r="15" spans="1:8" x14ac:dyDescent="0.25">
      <c r="B15" s="68"/>
      <c r="C15" s="126" t="s">
        <v>88</v>
      </c>
      <c r="D15" s="69"/>
      <c r="E15" s="70"/>
      <c r="F15" s="69"/>
      <c r="G15" s="69"/>
    </row>
    <row r="16" spans="1:8" x14ac:dyDescent="0.25">
      <c r="A16" s="38">
        <v>6</v>
      </c>
      <c r="B16" s="68"/>
      <c r="C16" s="54" t="str">
        <f>IF(A16="","",VLOOKUP(A16,'Götur einingav.'!$A$5:$E$75,2))</f>
        <v>Verkamaður</v>
      </c>
      <c r="D16" s="55">
        <v>10</v>
      </c>
      <c r="E16" s="56" t="str">
        <f>IF(A16="","",VLOOKUP(A16,'Götur einingav.'!$A$5:$E$75,3))</f>
        <v>klst.</v>
      </c>
      <c r="F16" s="57">
        <f>IF(A16="","",VLOOKUP(A16,'Götur einingav.'!$A$5:$E$75,4))</f>
        <v>5500</v>
      </c>
      <c r="G16" s="55">
        <f t="shared" ref="G16:G26" si="0">IF(D16="","",D16*F16)</f>
        <v>55000</v>
      </c>
      <c r="H16" s="58">
        <f>IF(F16=0,"",IF(A16="","",VLOOKUP(A16,'Götur einingav.'!$A$5:$E$75,5)))</f>
        <v>42491</v>
      </c>
    </row>
    <row r="17" spans="1:8" x14ac:dyDescent="0.25">
      <c r="A17" s="38">
        <v>7</v>
      </c>
      <c r="B17" s="68"/>
      <c r="C17" s="54" t="str">
        <f>IF(A17="","",VLOOKUP(A17,'Götur einingav.'!$A$5:$E$75,2))</f>
        <v>Vélamenn/bílstjórar</v>
      </c>
      <c r="D17" s="55">
        <v>10</v>
      </c>
      <c r="E17" s="56" t="str">
        <f>IF(A17="","",VLOOKUP(A17,'Götur einingav.'!$A$5:$E$75,3))</f>
        <v>klst.</v>
      </c>
      <c r="F17" s="57">
        <f>IF(A17="","",VLOOKUP(A17,'Götur einingav.'!$A$5:$E$75,4))</f>
        <v>5800</v>
      </c>
      <c r="G17" s="55">
        <f t="shared" si="0"/>
        <v>58000</v>
      </c>
      <c r="H17" s="58">
        <f>IF(F17=0,"",IF(A17="","",VLOOKUP(A17,'Götur einingav.'!$A$5:$E$75,5)))</f>
        <v>42491</v>
      </c>
    </row>
    <row r="18" spans="1:8" x14ac:dyDescent="0.25">
      <c r="A18" s="38">
        <v>8</v>
      </c>
      <c r="B18" s="68"/>
      <c r="C18" s="54" t="str">
        <f>IF(A18="","",VLOOKUP(A18,'Götur einingav.'!$A$5:$E$75,2))</f>
        <v>Iðnaðarmaður</v>
      </c>
      <c r="D18" s="55">
        <v>10</v>
      </c>
      <c r="E18" s="56" t="str">
        <f>IF(A18="","",VLOOKUP(A18,'Götur einingav.'!$A$5:$E$75,3))</f>
        <v>klst.</v>
      </c>
      <c r="F18" s="57">
        <f>IF(A18="","",VLOOKUP(A18,'Götur einingav.'!$A$5:$E$75,4))</f>
        <v>8300</v>
      </c>
      <c r="G18" s="55">
        <f t="shared" si="0"/>
        <v>83000</v>
      </c>
      <c r="H18" s="58">
        <f>IF(F18=0,"",IF(A18="","",VLOOKUP(A18,'Götur einingav.'!$A$5:$E$75,5)))</f>
        <v>42491</v>
      </c>
    </row>
    <row r="19" spans="1:8" x14ac:dyDescent="0.25">
      <c r="A19" s="38">
        <v>9</v>
      </c>
      <c r="B19" s="68"/>
      <c r="C19" s="54" t="str">
        <f>IF(A19="","",VLOOKUP(A19,'Götur einingav.'!$A$5:$E$75,2))</f>
        <v>Mælingamaður</v>
      </c>
      <c r="D19" s="55">
        <v>10</v>
      </c>
      <c r="E19" s="56" t="str">
        <f>IF(A19="","",VLOOKUP(A19,'Götur einingav.'!$A$5:$E$75,3))</f>
        <v>klst.</v>
      </c>
      <c r="F19" s="57">
        <f>IF(A19="","",VLOOKUP(A19,'Götur einingav.'!$A$5:$E$75,4))</f>
        <v>12000</v>
      </c>
      <c r="G19" s="55">
        <f t="shared" si="0"/>
        <v>120000</v>
      </c>
      <c r="H19" s="58">
        <f>IF(F19=0,"",IF(A19="","",VLOOKUP(A19,'Götur einingav.'!$A$5:$E$75,5)))</f>
        <v>42491</v>
      </c>
    </row>
    <row r="20" spans="1:8" x14ac:dyDescent="0.25">
      <c r="B20" s="68"/>
      <c r="C20" s="126" t="s">
        <v>89</v>
      </c>
      <c r="D20" s="55"/>
      <c r="E20" s="56"/>
      <c r="F20" s="57"/>
      <c r="G20" s="55"/>
      <c r="H20" s="58"/>
    </row>
    <row r="21" spans="1:8" x14ac:dyDescent="0.25">
      <c r="A21" s="38">
        <v>11</v>
      </c>
      <c r="B21" s="68"/>
      <c r="C21" s="54" t="str">
        <f>IF(A21="","",VLOOKUP(A21,'Götur einingav.'!$A$5:$E$75,2))</f>
        <v>Bakkóvél</v>
      </c>
      <c r="D21" s="55">
        <v>0</v>
      </c>
      <c r="E21" s="56" t="str">
        <f>IF(A21="","",VLOOKUP(A21,'Götur einingav.'!$A$5:$E$75,3))</f>
        <v>klst.</v>
      </c>
      <c r="F21" s="57">
        <f>IF(A21="","",VLOOKUP(A21,'Götur einingav.'!$A$5:$E$75,4))</f>
        <v>10700</v>
      </c>
      <c r="G21" s="55">
        <f t="shared" si="0"/>
        <v>0</v>
      </c>
      <c r="H21" s="58">
        <f>IF(F21=0,"",IF(A21="","",VLOOKUP(A21,'Götur einingav.'!$A$5:$E$75,5)))</f>
        <v>42491</v>
      </c>
    </row>
    <row r="22" spans="1:8" x14ac:dyDescent="0.25">
      <c r="A22" s="38">
        <v>15</v>
      </c>
      <c r="B22" s="68"/>
      <c r="C22" s="54" t="str">
        <f>IF(A22="","",VLOOKUP(A22,'Götur einingav.'!$A$5:$E$75,2))</f>
        <v>Traktorsgrafa</v>
      </c>
      <c r="D22" s="55">
        <v>0</v>
      </c>
      <c r="E22" s="56" t="str">
        <f>IF(A22="","",VLOOKUP(A22,'Götur einingav.'!$A$5:$E$75,3))</f>
        <v>klst.</v>
      </c>
      <c r="F22" s="57">
        <f>IF(A22="","",VLOOKUP(A22,'Götur einingav.'!$A$5:$E$75,4))</f>
        <v>8700</v>
      </c>
      <c r="G22" s="55">
        <f t="shared" si="0"/>
        <v>0</v>
      </c>
      <c r="H22" s="58">
        <f>IF(F22=0,"",IF(A22="","",VLOOKUP(A22,'Götur einingav.'!$A$5:$E$75,5)))</f>
        <v>42491</v>
      </c>
    </row>
    <row r="23" spans="1:8" x14ac:dyDescent="0.25">
      <c r="A23" s="38">
        <v>16</v>
      </c>
      <c r="B23" s="68"/>
      <c r="C23" s="54" t="str">
        <f>IF(A23="","",VLOOKUP(A23,'Götur einingav.'!$A$5:$E$75,2))</f>
        <v>Smágrafa</v>
      </c>
      <c r="D23" s="55">
        <v>0</v>
      </c>
      <c r="E23" s="56" t="str">
        <f>IF(A23="","",VLOOKUP(A23,'Götur einingav.'!$A$5:$E$75,3))</f>
        <v>klst.</v>
      </c>
      <c r="F23" s="57">
        <f>IF(A23="","",VLOOKUP(A23,'Götur einingav.'!$A$5:$E$75,4))</f>
        <v>7500</v>
      </c>
      <c r="G23" s="55">
        <f t="shared" si="0"/>
        <v>0</v>
      </c>
      <c r="H23" s="58">
        <f>IF(F23=0,"",IF(A23="","",VLOOKUP(A23,'Götur einingav.'!$A$5:$E$75,5)))</f>
        <v>42491</v>
      </c>
    </row>
    <row r="24" spans="1:8" x14ac:dyDescent="0.25">
      <c r="A24" s="38">
        <v>18</v>
      </c>
      <c r="B24" s="68"/>
      <c r="C24" s="54" t="str">
        <f>IF(A24="","",VLOOKUP(A24,'Götur einingav.'!$A$5:$E$75,2))</f>
        <v xml:space="preserve">Vörubíll  </v>
      </c>
      <c r="D24" s="55">
        <v>0</v>
      </c>
      <c r="E24" s="56" t="str">
        <f>IF(A24="","",VLOOKUP(A24,'Götur einingav.'!$A$5:$E$75,3))</f>
        <v>klst.</v>
      </c>
      <c r="F24" s="57">
        <f>IF(A24="","",VLOOKUP(A24,'Götur einingav.'!$A$5:$E$75,4))</f>
        <v>11500</v>
      </c>
      <c r="G24" s="55">
        <f t="shared" si="0"/>
        <v>0</v>
      </c>
      <c r="H24" s="58">
        <f>IF(F24=0,"",IF(A24="","",VLOOKUP(A24,'Götur einingav.'!$A$5:$E$75,5)))</f>
        <v>42491</v>
      </c>
    </row>
    <row r="25" spans="1:8" x14ac:dyDescent="0.25">
      <c r="A25" s="38">
        <v>19</v>
      </c>
      <c r="B25" s="68"/>
      <c r="C25" s="54" t="str">
        <f>IF(A25="","",VLOOKUP(A25,'Götur einingav.'!$A$5:$E$75,2))</f>
        <v>Vörubíll með krana</v>
      </c>
      <c r="D25" s="55">
        <v>0</v>
      </c>
      <c r="E25" s="56" t="str">
        <f>IF(A25="","",VLOOKUP(A25,'Götur einingav.'!$A$5:$E$75,3))</f>
        <v>klst.</v>
      </c>
      <c r="F25" s="57">
        <f>IF(A25="","",VLOOKUP(A25,'Götur einingav.'!$A$5:$E$75,4))</f>
        <v>12600</v>
      </c>
      <c r="G25" s="55">
        <f t="shared" si="0"/>
        <v>0</v>
      </c>
      <c r="H25" s="58">
        <f>IF(F25=0,"",IF(A25="","",VLOOKUP(A25,'Götur einingav.'!$A$5:$E$75,5)))</f>
        <v>42491</v>
      </c>
    </row>
    <row r="26" spans="1:8" x14ac:dyDescent="0.25">
      <c r="A26" s="38">
        <v>20</v>
      </c>
      <c r="B26" s="68"/>
      <c r="C26" s="54" t="str">
        <f>IF(A26="","",VLOOKUP(A26,'Götur einingav.'!$A$5:$E$75,2))</f>
        <v>Dráttarbíll</v>
      </c>
      <c r="D26" s="55">
        <v>0</v>
      </c>
      <c r="E26" s="56" t="str">
        <f>IF(A26="","",VLOOKUP(A26,'Götur einingav.'!$A$5:$E$75,3))</f>
        <v>klst.</v>
      </c>
      <c r="F26" s="57">
        <f>IF(A26="","",VLOOKUP(A26,'Götur einingav.'!$A$5:$E$75,4))</f>
        <v>12000</v>
      </c>
      <c r="G26" s="55">
        <f t="shared" si="0"/>
        <v>0</v>
      </c>
      <c r="H26" s="58">
        <f>IF(F26=0,"",IF(A26="","",VLOOKUP(A26,'Götur einingav.'!$A$5:$E$75,5)))</f>
        <v>42491</v>
      </c>
    </row>
    <row r="27" spans="1:8" x14ac:dyDescent="0.25">
      <c r="D27" s="60"/>
      <c r="E27" s="38"/>
      <c r="F27" s="60"/>
      <c r="G27" s="60"/>
    </row>
    <row r="28" spans="1:8" x14ac:dyDescent="0.25">
      <c r="B28" s="71"/>
      <c r="C28" s="248" t="s">
        <v>90</v>
      </c>
      <c r="D28" s="249"/>
      <c r="E28" s="249"/>
      <c r="F28" s="249"/>
      <c r="G28" s="61">
        <f>SUM(G16:G27)</f>
        <v>316000</v>
      </c>
    </row>
    <row r="29" spans="1:8" x14ac:dyDescent="0.25">
      <c r="G29" s="64"/>
    </row>
    <row r="30" spans="1:8" x14ac:dyDescent="0.25">
      <c r="B30" s="65" t="s">
        <v>91</v>
      </c>
      <c r="C30" s="66" t="s">
        <v>175</v>
      </c>
      <c r="D30" s="67"/>
      <c r="F30" s="67"/>
      <c r="G30" s="64"/>
    </row>
    <row r="31" spans="1:8" x14ac:dyDescent="0.25">
      <c r="A31" s="38">
        <v>33</v>
      </c>
      <c r="B31" s="68"/>
      <c r="C31" s="54" t="str">
        <f>IF(A31="","",VLOOKUP(A31,'Götur einingav.'!$A$5:$E$75,2))</f>
        <v>Taka upp götujárn - brunnur</v>
      </c>
      <c r="D31" s="55">
        <v>8</v>
      </c>
      <c r="E31" s="56" t="str">
        <f>IF(A31="","",VLOOKUP(A31,'Götur einingav.'!$A$5:$E$75,3))</f>
        <v>stk.</v>
      </c>
      <c r="F31" s="57">
        <f>IF(A31="","",VLOOKUP(A31,'Götur einingav.'!$A$5:$E$75,4))</f>
        <v>8500</v>
      </c>
      <c r="G31" s="55">
        <f>IF(D31="","",D31*F31)</f>
        <v>68000</v>
      </c>
      <c r="H31" s="58">
        <f>IF(F31=0,"",IF(A31="","",VLOOKUP(A31,'Götur einingav.'!$A$5:$E$75,5)))</f>
        <v>42461</v>
      </c>
    </row>
    <row r="32" spans="1:8" x14ac:dyDescent="0.25">
      <c r="A32" s="38">
        <v>34</v>
      </c>
      <c r="B32" s="68"/>
      <c r="C32" s="54" t="str">
        <f>IF(A32="","",VLOOKUP(A32,'Götur einingav.'!$A$5:$E$75,2))</f>
        <v>Taka upp götujárn - vatnssp.</v>
      </c>
      <c r="D32" s="55">
        <v>0</v>
      </c>
      <c r="E32" s="56" t="str">
        <f>IF(A32="","",VLOOKUP(A32,'Götur einingav.'!$A$5:$E$75,3))</f>
        <v>stk.</v>
      </c>
      <c r="F32" s="57">
        <f>IF(A32="","",VLOOKUP(A32,'Götur einingav.'!$A$5:$E$75,4))</f>
        <v>5700</v>
      </c>
      <c r="G32" s="55">
        <f>IF(D32="","",D32*F32)</f>
        <v>0</v>
      </c>
      <c r="H32" s="58">
        <f>IF(F32=0,"",IF(A32="","",VLOOKUP(A32,'Götur einingav.'!$A$5:$E$75,5)))</f>
        <v>42461</v>
      </c>
    </row>
    <row r="33" spans="1:9" x14ac:dyDescent="0.25">
      <c r="A33" s="38">
        <v>35</v>
      </c>
      <c r="B33" s="68"/>
      <c r="C33" s="54" t="str">
        <f>IF(A33="","",VLOOKUP(A33,'Götur einingav.'!$A$5:$E$75,2))</f>
        <v>Taka upp götujárn - niðurfall</v>
      </c>
      <c r="D33" s="55">
        <v>0</v>
      </c>
      <c r="E33" s="56" t="str">
        <f>IF(A33="","",VLOOKUP(A33,'Götur einingav.'!$A$5:$E$75,3))</f>
        <v>stk.</v>
      </c>
      <c r="F33" s="57">
        <f>IF(A33="","",VLOOKUP(A33,'Götur einingav.'!$A$5:$E$75,4))</f>
        <v>5700</v>
      </c>
      <c r="G33" s="55">
        <f>IF(D33="","",D33*F33)</f>
        <v>0</v>
      </c>
      <c r="H33" s="58">
        <f>IF(F33=0,"",IF(A33="","",VLOOKUP(A33,'Götur einingav.'!$A$5:$E$75,5)))</f>
        <v>42461</v>
      </c>
    </row>
    <row r="34" spans="1:9" x14ac:dyDescent="0.25">
      <c r="A34" s="38">
        <v>28</v>
      </c>
      <c r="B34" s="68"/>
      <c r="C34" s="54" t="str">
        <f>IF(A34="","",VLOOKUP(A34,'Götur einingav.'!$A$5:$E$75,2))</f>
        <v>Sögun á steypu / malbiki</v>
      </c>
      <c r="D34" s="55">
        <v>50</v>
      </c>
      <c r="E34" s="56" t="str">
        <f>IF(A34="","",VLOOKUP(A34,'Götur einingav.'!$A$5:$E$75,3))</f>
        <v>m</v>
      </c>
      <c r="F34" s="57">
        <f>IF(A34="","",VLOOKUP(A34,'Götur einingav.'!$A$5:$E$75,4))</f>
        <v>2500</v>
      </c>
      <c r="G34" s="55">
        <f>IF(D34="","",D34*F34)</f>
        <v>125000</v>
      </c>
      <c r="H34" s="58">
        <f>IF(F34=0,"",IF(A34="","",VLOOKUP(A34,'Götur einingav.'!$A$5:$E$75,5)))</f>
        <v>42491</v>
      </c>
    </row>
    <row r="35" spans="1:9" x14ac:dyDescent="0.25">
      <c r="A35" s="38">
        <v>29</v>
      </c>
      <c r="B35" s="68"/>
      <c r="C35" s="54" t="str">
        <f>IF(A35="","",VLOOKUP(A35,'Götur einingav.'!$A$5:$E$75,2))</f>
        <v>Fræsing yfirborðs</v>
      </c>
      <c r="D35" s="55">
        <v>3400</v>
      </c>
      <c r="E35" s="56" t="str">
        <f>IF(A35="","",VLOOKUP(A35,'Götur einingav.'!$A$5:$E$75,3))</f>
        <v>m2</v>
      </c>
      <c r="F35" s="57">
        <f>IF(A35="","",VLOOKUP(A35,'Götur einingav.'!$A$5:$E$75,4))</f>
        <v>1500</v>
      </c>
      <c r="G35" s="55">
        <f>IF(D35="","",D35*F35)</f>
        <v>5100000</v>
      </c>
      <c r="H35" s="58">
        <f>IF(F35=0,"",IF(A35="","",VLOOKUP(A35,'Götur einingav.'!$A$5:$E$75,5)))</f>
        <v>42491</v>
      </c>
    </row>
    <row r="36" spans="1:9" x14ac:dyDescent="0.25">
      <c r="B36" s="38"/>
      <c r="D36" s="62"/>
      <c r="E36" s="63"/>
      <c r="F36" s="62"/>
      <c r="G36" s="62"/>
    </row>
    <row r="37" spans="1:9" x14ac:dyDescent="0.25">
      <c r="C37" s="248" t="s">
        <v>92</v>
      </c>
      <c r="D37" s="249"/>
      <c r="E37" s="249"/>
      <c r="F37" s="249"/>
      <c r="G37" s="61">
        <f>SUM(G31:G36)</f>
        <v>5293000</v>
      </c>
    </row>
    <row r="38" spans="1:9" x14ac:dyDescent="0.25">
      <c r="G38" s="64"/>
    </row>
    <row r="39" spans="1:9" x14ac:dyDescent="0.25">
      <c r="G39" s="64"/>
    </row>
    <row r="40" spans="1:9" ht="15.75" x14ac:dyDescent="0.25">
      <c r="B40" s="72" t="s">
        <v>93</v>
      </c>
      <c r="C40" s="73" t="s">
        <v>94</v>
      </c>
      <c r="D40" s="45" t="s">
        <v>79</v>
      </c>
      <c r="E40" s="47" t="s">
        <v>80</v>
      </c>
      <c r="F40" s="45" t="s">
        <v>76</v>
      </c>
      <c r="G40" s="45" t="s">
        <v>95</v>
      </c>
    </row>
    <row r="41" spans="1:9" x14ac:dyDescent="0.25">
      <c r="A41" s="38">
        <v>38</v>
      </c>
      <c r="B41" s="68"/>
      <c r="C41" s="54" t="str">
        <f>IF(A41="","",VLOOKUP(A41,'Götur einingav.'!$A$5:$E$75,2))</f>
        <v>Malbikun SL 11 - 50 mm</v>
      </c>
      <c r="D41" s="55">
        <v>3400</v>
      </c>
      <c r="E41" s="56" t="str">
        <f>IF(A41="","",VLOOKUP(A41,'Götur einingav.'!$A$5:$E$75,3))</f>
        <v>m2</v>
      </c>
      <c r="F41" s="57">
        <f>IF(A41="","",VLOOKUP(A41,'Götur einingav.'!$A$5:$E$75,4))</f>
        <v>4700</v>
      </c>
      <c r="G41" s="55">
        <f>IF(D41="","",D41*F41)</f>
        <v>15980000</v>
      </c>
      <c r="H41" s="58">
        <f>IF(F41=0,"",IF(A41="","",VLOOKUP(A41,'Götur einingav.'!$A$5:$E$75,5)))</f>
        <v>42491</v>
      </c>
    </row>
    <row r="42" spans="1:9" x14ac:dyDescent="0.25">
      <c r="B42" s="68"/>
      <c r="C42" s="54" t="s">
        <v>182</v>
      </c>
      <c r="D42" s="55"/>
      <c r="E42" s="56"/>
      <c r="F42" s="57"/>
      <c r="G42" s="127"/>
      <c r="H42" s="58"/>
      <c r="I42" t="s">
        <v>188</v>
      </c>
    </row>
    <row r="43" spans="1:9" x14ac:dyDescent="0.25">
      <c r="B43" s="68"/>
      <c r="C43" s="54" t="s">
        <v>184</v>
      </c>
      <c r="D43" s="55"/>
      <c r="E43" s="56"/>
      <c r="F43" s="57"/>
      <c r="G43" s="127">
        <v>10000000</v>
      </c>
      <c r="H43" s="58"/>
      <c r="I43" t="s">
        <v>189</v>
      </c>
    </row>
    <row r="44" spans="1:9" x14ac:dyDescent="0.25">
      <c r="B44" s="128"/>
      <c r="C44" s="129"/>
      <c r="D44" s="130"/>
      <c r="E44" s="131"/>
      <c r="F44" s="132"/>
      <c r="G44" s="130"/>
      <c r="H44" s="133"/>
    </row>
    <row r="45" spans="1:9" x14ac:dyDescent="0.25">
      <c r="C45" s="248" t="s">
        <v>96</v>
      </c>
      <c r="D45" s="249"/>
      <c r="E45" s="249"/>
      <c r="F45" s="250"/>
      <c r="G45" s="75">
        <f>SUM(G41:G43)</f>
        <v>25980000</v>
      </c>
    </row>
    <row r="46" spans="1:9" x14ac:dyDescent="0.25">
      <c r="G46" s="64"/>
    </row>
    <row r="47" spans="1:9" ht="15.75" x14ac:dyDescent="0.25">
      <c r="F47" s="76" t="s">
        <v>97</v>
      </c>
      <c r="G47" s="77">
        <f>G12+G28+G37+G45</f>
        <v>31946500</v>
      </c>
    </row>
    <row r="48" spans="1:9" ht="15.75" x14ac:dyDescent="0.25">
      <c r="F48" s="76"/>
      <c r="G48" s="77"/>
    </row>
    <row r="49" spans="2:8" x14ac:dyDescent="0.25">
      <c r="E49" s="43" t="s">
        <v>98</v>
      </c>
      <c r="F49" s="78">
        <v>0.2</v>
      </c>
      <c r="G49" s="79">
        <f>G47*F49</f>
        <v>6389300</v>
      </c>
    </row>
    <row r="50" spans="2:8" x14ac:dyDescent="0.25">
      <c r="G50" s="134">
        <f>G47+G49</f>
        <v>38335800</v>
      </c>
    </row>
    <row r="51" spans="2:8" ht="15.75" x14ac:dyDescent="0.25">
      <c r="F51" s="76"/>
      <c r="G51" s="77"/>
    </row>
    <row r="52" spans="2:8" ht="15.75" x14ac:dyDescent="0.25">
      <c r="F52" s="76"/>
      <c r="G52" s="77"/>
    </row>
    <row r="53" spans="2:8" x14ac:dyDescent="0.25">
      <c r="G53" s="64"/>
    </row>
    <row r="54" spans="2:8" ht="15.75" x14ac:dyDescent="0.25">
      <c r="B54" s="44" t="s">
        <v>99</v>
      </c>
      <c r="G54" s="64"/>
    </row>
    <row r="56" spans="2:8" x14ac:dyDescent="0.25">
      <c r="B56" t="str">
        <f>B5</f>
        <v>1.2</v>
      </c>
      <c r="C56" t="str">
        <f>C5</f>
        <v>AÐSTAÐA, FRÁGANGUR O.FL.</v>
      </c>
      <c r="F56" s="43" t="s">
        <v>100</v>
      </c>
      <c r="G56" s="64">
        <f>G12</f>
        <v>357500</v>
      </c>
      <c r="H56" s="80">
        <f>G56/$G$64</f>
        <v>1.1190584258056437E-2</v>
      </c>
    </row>
    <row r="58" spans="2:8" x14ac:dyDescent="0.25">
      <c r="B58" s="81" t="str">
        <f>B14</f>
        <v>1.3</v>
      </c>
      <c r="C58" t="str">
        <f>C14</f>
        <v>REIKNINGSVINNA</v>
      </c>
      <c r="F58" s="43" t="s">
        <v>100</v>
      </c>
      <c r="G58" s="64">
        <f>G28</f>
        <v>316000</v>
      </c>
      <c r="H58" s="80">
        <f>G58/$G$64</f>
        <v>9.8915374141142227E-3</v>
      </c>
    </row>
    <row r="60" spans="2:8" x14ac:dyDescent="0.25">
      <c r="B60" s="81" t="str">
        <f>B30</f>
        <v>1.4</v>
      </c>
      <c r="C60" t="str">
        <f>C30</f>
        <v>FORVINNA / JARÐVINNA</v>
      </c>
      <c r="F60" s="43" t="s">
        <v>100</v>
      </c>
      <c r="G60" s="64">
        <f>G37</f>
        <v>5293000</v>
      </c>
      <c r="H60" s="80">
        <f>G60/$G$64</f>
        <v>0.16568325168641324</v>
      </c>
    </row>
    <row r="61" spans="2:8" x14ac:dyDescent="0.25">
      <c r="B61" s="81"/>
    </row>
    <row r="62" spans="2:8" x14ac:dyDescent="0.25">
      <c r="B62" s="81" t="str">
        <f>B40</f>
        <v>1.5</v>
      </c>
      <c r="C62" t="str">
        <f>C40</f>
        <v>YFIRBORÐSFRÁGANGUR</v>
      </c>
      <c r="F62" s="43" t="s">
        <v>100</v>
      </c>
      <c r="G62" s="64">
        <f>G45</f>
        <v>25980000</v>
      </c>
      <c r="H62" s="80">
        <f>G62/$G$64</f>
        <v>0.8132346266414161</v>
      </c>
    </row>
    <row r="64" spans="2:8" x14ac:dyDescent="0.25">
      <c r="F64" t="s">
        <v>101</v>
      </c>
      <c r="G64" s="64">
        <f>SUM(G56:G62)</f>
        <v>31946500</v>
      </c>
    </row>
  </sheetData>
  <mergeCells count="5">
    <mergeCell ref="C1:C2"/>
    <mergeCell ref="C12:F12"/>
    <mergeCell ref="C28:F28"/>
    <mergeCell ref="C37:F37"/>
    <mergeCell ref="C45:F45"/>
  </mergeCells>
  <printOptions horizontalCentered="1" verticalCentered="1"/>
  <pageMargins left="0.51181102362204722" right="0.51181102362204722" top="0.74803149606299213" bottom="0.74803149606299213" header="0.31496062992125984" footer="0.31496062992125984"/>
  <pageSetup paperSize="9"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Tillaga S+U</vt:lpstr>
      <vt:lpstr> Samant. framkv-fjárf 2017-2020</vt:lpstr>
      <vt:lpstr>Tímaplan verkefna 2017</vt:lpstr>
      <vt:lpstr>Götur-yfirlagnir</vt:lpstr>
      <vt:lpstr>Önnur verkefni</vt:lpstr>
      <vt:lpstr>Götur einingav.</vt:lpstr>
      <vt:lpstr>Garðagrund</vt:lpstr>
      <vt:lpstr>Esjubraut</vt:lpstr>
      <vt:lpstr>Esjubraut Vestri</vt:lpstr>
      <vt:lpstr>Slökkvilið-búnaður</vt:lpstr>
      <vt:lpstr>Forsendur</vt:lpstr>
      <vt:lpstr>'Götur einingav.'!Print_Area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Sigurður Páll Harðarsson</dc:creator>
  <cp:lastModifiedBy>Hafdís Sigurþórsdóttir</cp:lastModifiedBy>
  <cp:lastPrinted>2016-12-13T19:15:29Z</cp:lastPrinted>
  <dcterms:created xsi:type="dcterms:W3CDTF">2013-08-27T16:52:55Z</dcterms:created>
  <dcterms:modified xsi:type="dcterms:W3CDTF">2016-12-19T15:36:25Z</dcterms:modified>
</cp:coreProperties>
</file>